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rod pays 2013"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864" i="1"/>
  <c r="B1864"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B310" i="1"/>
  <c r="A311" i="1"/>
  <c r="B311" i="1"/>
  <c r="A312" i="1"/>
  <c r="B312" i="1"/>
  <c r="A313" i="1"/>
  <c r="B313" i="1"/>
  <c r="A314" i="1"/>
  <c r="B314" i="1"/>
  <c r="A315" i="1"/>
  <c r="B315" i="1"/>
  <c r="A316" i="1"/>
  <c r="B316" i="1"/>
  <c r="A317" i="1"/>
  <c r="B317" i="1"/>
  <c r="A318" i="1"/>
  <c r="B318" i="1"/>
  <c r="A319" i="1"/>
  <c r="B319" i="1"/>
  <c r="A320" i="1"/>
  <c r="B320" i="1"/>
  <c r="A321" i="1"/>
  <c r="B321" i="1"/>
  <c r="A322" i="1"/>
  <c r="B322" i="1"/>
  <c r="A323" i="1"/>
  <c r="B323" i="1"/>
  <c r="A324" i="1"/>
  <c r="B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B397" i="1"/>
  <c r="A398" i="1"/>
  <c r="B398" i="1"/>
  <c r="A399" i="1"/>
  <c r="B399" i="1"/>
  <c r="A400" i="1"/>
  <c r="B400" i="1"/>
  <c r="A401" i="1"/>
  <c r="B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B567" i="1"/>
  <c r="A568" i="1"/>
  <c r="B568" i="1"/>
  <c r="A569" i="1"/>
  <c r="B569" i="1"/>
  <c r="A570" i="1"/>
  <c r="B570" i="1"/>
  <c r="A571" i="1"/>
  <c r="B571" i="1"/>
  <c r="A572" i="1"/>
  <c r="B572" i="1"/>
  <c r="A573" i="1"/>
  <c r="B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B1040" i="1"/>
  <c r="A1041" i="1"/>
  <c r="B1041" i="1"/>
  <c r="A1042" i="1"/>
  <c r="B1042" i="1"/>
  <c r="A1043" i="1"/>
  <c r="B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B1116" i="1"/>
  <c r="A1117" i="1"/>
  <c r="B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B1201" i="1"/>
  <c r="A1202" i="1"/>
  <c r="B1202" i="1"/>
  <c r="A1203" i="1"/>
  <c r="B1203" i="1"/>
  <c r="A1204" i="1"/>
  <c r="B1204" i="1"/>
  <c r="A1205" i="1"/>
  <c r="A1206" i="1"/>
  <c r="B1206" i="1"/>
  <c r="A1207" i="1"/>
  <c r="B1207" i="1"/>
  <c r="A1208" i="1"/>
  <c r="A1209" i="1"/>
  <c r="B1209" i="1"/>
  <c r="A1210" i="1"/>
  <c r="B1210" i="1"/>
  <c r="A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B1389" i="1"/>
  <c r="A1390" i="1"/>
  <c r="B1390" i="1"/>
  <c r="A1391" i="1"/>
  <c r="B1391" i="1"/>
  <c r="A1392" i="1"/>
  <c r="B1392" i="1"/>
  <c r="A1393" i="1"/>
  <c r="B1393" i="1"/>
  <c r="A1394" i="1"/>
  <c r="B1394" i="1"/>
  <c r="A1395" i="1"/>
  <c r="B1395" i="1"/>
  <c r="A1396" i="1"/>
  <c r="B1396" i="1"/>
  <c r="A1397" i="1"/>
  <c r="B1397" i="1"/>
  <c r="A1398" i="1"/>
  <c r="B1398" i="1"/>
  <c r="A1399" i="1"/>
  <c r="B1399" i="1"/>
  <c r="A1400" i="1"/>
  <c r="B1400" i="1"/>
  <c r="A1401" i="1"/>
  <c r="B1401" i="1"/>
  <c r="A1402" i="1"/>
  <c r="B1402" i="1"/>
  <c r="A1403" i="1"/>
  <c r="B1403" i="1"/>
  <c r="A1404" i="1"/>
  <c r="B1404" i="1"/>
  <c r="A1405" i="1"/>
  <c r="B1405" i="1"/>
  <c r="A1406" i="1"/>
  <c r="B1406" i="1"/>
  <c r="A1407" i="1"/>
  <c r="B1407" i="1"/>
  <c r="A1408" i="1"/>
  <c r="B1408" i="1"/>
  <c r="A1409" i="1"/>
  <c r="B1409" i="1"/>
  <c r="A1410" i="1"/>
  <c r="B1410" i="1"/>
  <c r="A1411" i="1"/>
  <c r="B1411" i="1"/>
  <c r="A1412" i="1"/>
  <c r="B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B1434" i="1"/>
  <c r="A1435" i="1"/>
  <c r="B1435" i="1"/>
  <c r="A1436" i="1"/>
  <c r="B1436" i="1"/>
  <c r="A1437" i="1"/>
  <c r="B1437" i="1"/>
  <c r="A1438" i="1"/>
  <c r="B1438" i="1"/>
  <c r="A1439" i="1"/>
  <c r="B1439" i="1"/>
  <c r="A1440" i="1"/>
  <c r="B1440" i="1"/>
  <c r="A1441" i="1"/>
  <c r="B1441" i="1"/>
  <c r="A1442" i="1"/>
  <c r="B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B1470" i="1"/>
  <c r="A1471" i="1"/>
  <c r="B1471" i="1"/>
  <c r="A1472" i="1"/>
  <c r="B1472" i="1"/>
  <c r="A1473" i="1"/>
  <c r="B1473" i="1"/>
  <c r="A1474" i="1"/>
  <c r="B1474" i="1"/>
  <c r="A1475" i="1"/>
  <c r="A1476" i="1"/>
  <c r="B1476" i="1"/>
  <c r="A1477" i="1"/>
  <c r="B1477" i="1"/>
  <c r="A1478" i="1"/>
  <c r="B1478" i="1"/>
  <c r="A1479" i="1"/>
  <c r="B1479" i="1"/>
  <c r="A1480" i="1"/>
  <c r="B1480" i="1"/>
  <c r="A1481" i="1"/>
  <c r="B1481" i="1"/>
  <c r="A1482" i="1"/>
  <c r="B1482" i="1"/>
  <c r="A1483" i="1"/>
  <c r="B1483" i="1"/>
  <c r="A1484" i="1"/>
  <c r="A1485" i="1"/>
  <c r="B1485" i="1"/>
  <c r="A1486" i="1"/>
  <c r="B1486" i="1"/>
  <c r="A1487" i="1"/>
  <c r="B1487" i="1"/>
  <c r="A1488" i="1"/>
  <c r="B1488" i="1"/>
  <c r="A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B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A1578" i="1"/>
  <c r="B1578" i="1"/>
  <c r="A1579" i="1"/>
  <c r="B1579" i="1"/>
  <c r="A1580" i="1"/>
  <c r="B1580" i="1"/>
  <c r="A1581" i="1"/>
  <c r="B1581" i="1"/>
  <c r="A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A1624" i="1"/>
  <c r="B1624" i="1"/>
  <c r="A1625" i="1"/>
  <c r="B1625" i="1"/>
  <c r="A1626" i="1"/>
  <c r="B1626" i="1"/>
  <c r="A1627" i="1"/>
  <c r="B1627" i="1"/>
  <c r="A1628" i="1"/>
  <c r="B1628" i="1"/>
  <c r="A1629" i="1"/>
  <c r="A1630" i="1"/>
  <c r="B1630" i="1"/>
  <c r="A1631" i="1"/>
  <c r="B1631" i="1"/>
  <c r="A1632" i="1"/>
  <c r="B1632" i="1"/>
  <c r="A1633" i="1"/>
  <c r="B1633" i="1"/>
  <c r="A1634" i="1"/>
  <c r="B1634" i="1"/>
  <c r="A1635" i="1"/>
  <c r="A1636" i="1"/>
  <c r="B1636" i="1"/>
  <c r="A1637" i="1"/>
  <c r="B1637" i="1"/>
  <c r="A1638" i="1"/>
  <c r="B1638" i="1"/>
  <c r="A1639" i="1"/>
  <c r="A1640" i="1"/>
  <c r="B1640" i="1"/>
  <c r="A1641" i="1"/>
  <c r="B1641" i="1"/>
  <c r="A1642" i="1"/>
  <c r="A1643" i="1"/>
  <c r="B1643" i="1"/>
  <c r="A1644" i="1"/>
  <c r="B1644" i="1"/>
  <c r="A1645" i="1"/>
  <c r="B1645" i="1"/>
  <c r="A1646" i="1"/>
  <c r="B1646" i="1"/>
  <c r="A1647" i="1"/>
  <c r="B1647" i="1"/>
  <c r="A1648" i="1"/>
  <c r="B1648" i="1"/>
  <c r="A1649" i="1"/>
  <c r="B1649" i="1"/>
  <c r="A1650" i="1"/>
  <c r="A1651" i="1"/>
  <c r="B1651" i="1"/>
  <c r="A1652" i="1"/>
  <c r="B1652" i="1"/>
  <c r="A1653" i="1"/>
  <c r="B1653" i="1"/>
  <c r="A1654" i="1"/>
  <c r="B1654" i="1"/>
  <c r="A1655" i="1"/>
  <c r="B1655" i="1"/>
  <c r="A1656" i="1"/>
  <c r="A1657" i="1"/>
  <c r="B1657" i="1"/>
  <c r="A1658" i="1"/>
  <c r="B1658" i="1"/>
  <c r="A1659" i="1"/>
  <c r="A1660" i="1"/>
  <c r="B1660" i="1"/>
  <c r="A1661" i="1"/>
  <c r="B1661" i="1"/>
  <c r="A1662" i="1"/>
  <c r="B1662" i="1"/>
  <c r="A1663" i="1"/>
  <c r="B1663" i="1"/>
  <c r="A1664" i="1"/>
  <c r="B1664" i="1"/>
  <c r="A1665" i="1"/>
  <c r="B1665" i="1"/>
  <c r="A1666" i="1"/>
  <c r="B1666" i="1"/>
  <c r="A1667" i="1"/>
  <c r="B1667" i="1"/>
  <c r="A1668" i="1"/>
  <c r="B1668" i="1"/>
  <c r="A1669" i="1"/>
  <c r="B1669" i="1"/>
  <c r="A1670" i="1"/>
  <c r="B1670" i="1"/>
  <c r="A1671" i="1"/>
  <c r="B1671" i="1"/>
  <c r="A1672" i="1"/>
  <c r="B1672" i="1"/>
  <c r="A1673" i="1"/>
  <c r="B1673" i="1"/>
  <c r="A1674" i="1"/>
  <c r="B1674" i="1"/>
  <c r="A1675" i="1"/>
  <c r="B1675" i="1"/>
  <c r="A1676" i="1"/>
  <c r="B1676" i="1"/>
  <c r="A1677" i="1"/>
  <c r="B1677" i="1"/>
  <c r="A1678" i="1"/>
  <c r="B1678" i="1"/>
  <c r="A1679" i="1"/>
  <c r="B1679" i="1"/>
  <c r="A1680" i="1"/>
  <c r="B1680" i="1"/>
  <c r="A1681" i="1"/>
  <c r="B1681" i="1"/>
  <c r="A1682" i="1"/>
  <c r="B1682" i="1"/>
  <c r="A1683" i="1"/>
  <c r="B1683" i="1"/>
  <c r="A1684" i="1"/>
  <c r="B1684" i="1"/>
  <c r="A1685" i="1"/>
  <c r="B1685" i="1"/>
  <c r="A1686" i="1"/>
  <c r="B1686" i="1"/>
  <c r="A1687" i="1"/>
  <c r="B1687" i="1"/>
  <c r="A1688" i="1"/>
  <c r="B1688" i="1"/>
  <c r="A1689" i="1"/>
  <c r="B1689" i="1"/>
  <c r="A1690" i="1"/>
  <c r="B1690" i="1"/>
  <c r="A1691" i="1"/>
  <c r="B1691" i="1"/>
  <c r="A1692" i="1"/>
  <c r="B1692" i="1"/>
  <c r="A1693" i="1"/>
  <c r="B1693" i="1"/>
  <c r="A1694" i="1"/>
  <c r="B1694" i="1"/>
  <c r="A1695" i="1"/>
  <c r="B1695" i="1"/>
  <c r="A1696" i="1"/>
  <c r="B1696" i="1"/>
  <c r="A1697" i="1"/>
  <c r="B1697" i="1"/>
  <c r="A1698" i="1"/>
  <c r="B1698" i="1"/>
  <c r="A1699" i="1"/>
  <c r="B1699" i="1"/>
  <c r="A1700" i="1"/>
  <c r="B1700" i="1"/>
  <c r="A1701" i="1"/>
  <c r="B1701" i="1"/>
  <c r="A1702" i="1"/>
  <c r="B1702" i="1"/>
  <c r="A1703" i="1"/>
  <c r="B1703" i="1"/>
  <c r="A1704" i="1"/>
  <c r="B1704" i="1"/>
  <c r="A1705" i="1"/>
  <c r="B1705" i="1"/>
  <c r="A1706" i="1"/>
  <c r="B1706" i="1"/>
  <c r="A1707" i="1"/>
  <c r="B1707" i="1"/>
  <c r="A1708" i="1"/>
  <c r="B1708" i="1"/>
  <c r="A1709" i="1"/>
  <c r="B1709" i="1"/>
  <c r="A1710" i="1"/>
  <c r="B1710" i="1"/>
  <c r="A1711" i="1"/>
  <c r="B1711" i="1"/>
  <c r="A1712" i="1"/>
  <c r="B1712" i="1"/>
  <c r="A1713" i="1"/>
  <c r="B1713" i="1"/>
  <c r="A1714" i="1"/>
  <c r="B1714" i="1"/>
  <c r="A1715" i="1"/>
  <c r="B1715" i="1"/>
  <c r="A1716" i="1"/>
  <c r="B1716" i="1"/>
  <c r="A1717" i="1"/>
  <c r="B1717" i="1"/>
  <c r="A1718" i="1"/>
  <c r="B1718" i="1"/>
  <c r="A1719" i="1"/>
  <c r="B1719" i="1"/>
  <c r="A1720" i="1"/>
  <c r="B1720" i="1"/>
  <c r="A1721" i="1"/>
  <c r="B1721" i="1"/>
  <c r="A1722" i="1"/>
  <c r="B1722" i="1"/>
  <c r="A1723" i="1"/>
  <c r="B1723" i="1"/>
  <c r="A1724" i="1"/>
  <c r="B1724" i="1"/>
  <c r="A1725" i="1"/>
  <c r="B1725" i="1"/>
  <c r="A1726" i="1"/>
  <c r="B1726" i="1"/>
  <c r="A1727" i="1"/>
  <c r="B1727" i="1"/>
  <c r="A1728" i="1"/>
  <c r="B1728" i="1"/>
  <c r="A1729" i="1"/>
  <c r="B1729" i="1"/>
  <c r="A1730" i="1"/>
  <c r="B1730" i="1"/>
  <c r="A1731" i="1"/>
  <c r="B1731" i="1"/>
  <c r="A1732" i="1"/>
  <c r="B1732" i="1"/>
  <c r="A1733" i="1"/>
  <c r="B1733" i="1"/>
  <c r="A1734" i="1"/>
  <c r="B1734" i="1"/>
  <c r="A1735" i="1"/>
  <c r="B1735" i="1"/>
  <c r="A1736" i="1"/>
  <c r="B1736" i="1"/>
  <c r="A1737" i="1"/>
  <c r="B1737" i="1"/>
  <c r="A1738" i="1"/>
  <c r="B1738" i="1"/>
  <c r="A1739" i="1"/>
  <c r="B1739" i="1"/>
  <c r="A1740" i="1"/>
  <c r="B1740" i="1"/>
  <c r="A1741" i="1"/>
  <c r="B1741" i="1"/>
  <c r="A1742" i="1"/>
  <c r="B1742" i="1"/>
  <c r="A1743" i="1"/>
  <c r="B1743" i="1"/>
  <c r="A1744" i="1"/>
  <c r="B1744" i="1"/>
  <c r="A1745" i="1"/>
  <c r="B1745" i="1"/>
  <c r="A1746" i="1"/>
  <c r="B1746" i="1"/>
  <c r="A1747" i="1"/>
  <c r="B1747" i="1"/>
  <c r="A1748" i="1"/>
  <c r="B1748" i="1"/>
  <c r="A1749" i="1"/>
  <c r="B1749" i="1"/>
  <c r="A1750" i="1"/>
  <c r="B1750" i="1"/>
  <c r="A1751" i="1"/>
  <c r="B1751" i="1"/>
  <c r="A1752" i="1"/>
  <c r="B1752" i="1"/>
  <c r="A1753" i="1"/>
  <c r="B1753" i="1"/>
  <c r="A1754" i="1"/>
  <c r="B1754" i="1"/>
  <c r="A1755" i="1"/>
  <c r="B1755" i="1"/>
  <c r="A1756" i="1"/>
  <c r="B1756" i="1"/>
  <c r="A1757" i="1"/>
  <c r="B1757" i="1"/>
  <c r="A1758" i="1"/>
  <c r="B1758" i="1"/>
  <c r="A1759" i="1"/>
  <c r="B1759" i="1"/>
  <c r="A1760" i="1"/>
  <c r="B1760" i="1"/>
  <c r="A1761" i="1"/>
  <c r="B1761" i="1"/>
  <c r="A1762" i="1"/>
  <c r="B1762" i="1"/>
  <c r="A1763" i="1"/>
  <c r="B1763" i="1"/>
  <c r="A1764" i="1"/>
  <c r="B1764" i="1"/>
  <c r="A1765" i="1"/>
  <c r="B1765" i="1"/>
  <c r="A1766" i="1"/>
  <c r="B1766" i="1"/>
  <c r="A1767" i="1"/>
  <c r="B1767" i="1"/>
  <c r="A1768" i="1"/>
  <c r="B1768" i="1"/>
  <c r="A1769" i="1"/>
  <c r="B1769" i="1"/>
  <c r="A1770" i="1"/>
  <c r="B1770" i="1"/>
  <c r="A1771" i="1"/>
  <c r="B1771" i="1"/>
  <c r="A1772" i="1"/>
  <c r="B1772" i="1"/>
  <c r="A1773" i="1"/>
  <c r="B1773" i="1"/>
  <c r="A1774" i="1"/>
  <c r="B1774" i="1"/>
  <c r="A1775" i="1"/>
  <c r="B1775" i="1"/>
  <c r="A1776" i="1"/>
  <c r="B1776" i="1"/>
  <c r="A1777" i="1"/>
  <c r="B1777" i="1"/>
  <c r="A1778" i="1"/>
  <c r="B1778" i="1"/>
  <c r="A1779" i="1"/>
  <c r="B1779" i="1"/>
  <c r="A1780" i="1"/>
  <c r="B1780" i="1"/>
  <c r="A1781" i="1"/>
  <c r="B1781" i="1"/>
  <c r="A1782" i="1"/>
  <c r="B1782" i="1"/>
  <c r="A1783" i="1"/>
  <c r="B1783" i="1"/>
  <c r="A1784" i="1"/>
  <c r="B1784" i="1"/>
  <c r="A1785" i="1"/>
  <c r="B1785" i="1"/>
  <c r="A1786" i="1"/>
  <c r="B1786" i="1"/>
  <c r="A1787" i="1"/>
  <c r="B1787" i="1"/>
  <c r="A1788" i="1"/>
  <c r="B1788" i="1"/>
  <c r="A1789" i="1"/>
  <c r="B1789" i="1"/>
  <c r="A1790" i="1"/>
  <c r="B1790" i="1"/>
  <c r="A1791" i="1"/>
  <c r="B1791" i="1"/>
  <c r="A1792" i="1"/>
  <c r="B1792" i="1"/>
  <c r="A1793" i="1"/>
  <c r="B1793" i="1"/>
  <c r="A1794" i="1"/>
  <c r="B1794" i="1"/>
  <c r="A1795" i="1"/>
  <c r="B1795" i="1"/>
  <c r="A1796" i="1"/>
  <c r="B1796" i="1"/>
  <c r="A1797" i="1"/>
  <c r="B1797" i="1"/>
  <c r="A1798" i="1"/>
  <c r="B1798" i="1"/>
  <c r="A1799" i="1"/>
  <c r="B1799" i="1"/>
  <c r="A1800" i="1"/>
  <c r="B1800" i="1"/>
  <c r="A1801" i="1"/>
  <c r="B1801" i="1"/>
  <c r="A1802" i="1"/>
  <c r="B1802" i="1"/>
  <c r="A1803" i="1"/>
  <c r="B1803" i="1"/>
  <c r="A1804" i="1"/>
  <c r="B1804" i="1"/>
  <c r="A1805" i="1"/>
  <c r="B1805" i="1"/>
  <c r="A1806" i="1"/>
  <c r="B1806" i="1"/>
  <c r="A1807" i="1"/>
  <c r="B1807" i="1"/>
  <c r="A1808" i="1"/>
  <c r="B1808" i="1"/>
  <c r="A1809" i="1"/>
  <c r="B1809" i="1"/>
  <c r="A1810" i="1"/>
  <c r="B1810" i="1"/>
  <c r="A1811" i="1"/>
  <c r="B1811" i="1"/>
  <c r="A1812" i="1"/>
  <c r="B1812" i="1"/>
  <c r="A1813" i="1"/>
  <c r="B1813" i="1"/>
  <c r="A1814" i="1"/>
  <c r="B1814" i="1"/>
  <c r="A1815" i="1"/>
  <c r="B1815" i="1"/>
  <c r="A1816" i="1"/>
  <c r="B1816" i="1"/>
  <c r="A1817" i="1"/>
  <c r="B1817" i="1"/>
  <c r="A1818" i="1"/>
  <c r="B1818" i="1"/>
  <c r="A1819" i="1"/>
  <c r="B1819" i="1"/>
  <c r="A1820" i="1"/>
  <c r="B1820" i="1"/>
  <c r="A1821" i="1"/>
  <c r="B1821" i="1"/>
  <c r="A1822" i="1"/>
  <c r="B1822" i="1"/>
  <c r="A1823" i="1"/>
  <c r="B1823" i="1"/>
  <c r="A1824" i="1"/>
  <c r="B1824" i="1"/>
  <c r="A1825" i="1"/>
  <c r="B1825" i="1"/>
  <c r="A1826" i="1"/>
  <c r="B1826" i="1"/>
  <c r="A1827" i="1"/>
  <c r="B1827" i="1"/>
  <c r="A1828" i="1"/>
  <c r="B1828" i="1"/>
  <c r="A1829" i="1"/>
  <c r="B1829" i="1"/>
  <c r="A1830" i="1"/>
  <c r="B1830" i="1"/>
  <c r="A1831" i="1"/>
  <c r="B1831" i="1"/>
  <c r="A1832" i="1"/>
  <c r="B1832" i="1"/>
  <c r="A1833" i="1"/>
  <c r="B1833" i="1"/>
  <c r="A1834" i="1"/>
  <c r="B1834" i="1"/>
  <c r="A1835" i="1"/>
  <c r="B1835" i="1"/>
  <c r="A1836" i="1"/>
  <c r="B1836" i="1"/>
  <c r="A1837" i="1"/>
  <c r="B1837" i="1"/>
  <c r="A1838" i="1"/>
  <c r="B1838" i="1"/>
  <c r="A1839" i="1"/>
  <c r="B1839" i="1"/>
  <c r="A1840" i="1"/>
  <c r="B1840" i="1"/>
  <c r="A1841" i="1"/>
  <c r="B1841" i="1"/>
  <c r="A1842" i="1"/>
  <c r="B1842" i="1"/>
  <c r="A1843" i="1"/>
  <c r="B1843" i="1"/>
  <c r="A1844" i="1"/>
  <c r="B1844" i="1"/>
  <c r="A1845" i="1"/>
  <c r="B1845" i="1"/>
  <c r="A1846" i="1"/>
  <c r="B1846" i="1"/>
  <c r="A1847" i="1"/>
  <c r="B1847" i="1"/>
  <c r="A1848" i="1"/>
  <c r="B1848" i="1"/>
  <c r="A1849" i="1"/>
  <c r="B1849" i="1"/>
  <c r="A1850" i="1"/>
  <c r="B1850" i="1"/>
  <c r="A1851" i="1"/>
  <c r="B1851" i="1"/>
  <c r="A1852" i="1"/>
  <c r="B1852" i="1"/>
  <c r="A1853" i="1"/>
  <c r="B1853" i="1"/>
  <c r="A1854" i="1"/>
  <c r="B1854" i="1"/>
  <c r="A1855" i="1"/>
  <c r="B1855" i="1"/>
  <c r="A1856" i="1"/>
  <c r="B1856" i="1"/>
  <c r="A1857" i="1"/>
  <c r="B1857" i="1"/>
  <c r="A1858" i="1"/>
  <c r="B1858" i="1"/>
  <c r="A1859" i="1"/>
  <c r="B1859" i="1"/>
  <c r="A1860" i="1"/>
  <c r="B1860" i="1"/>
  <c r="A1861" i="1"/>
  <c r="B1861" i="1"/>
  <c r="A1862" i="1"/>
  <c r="B1862" i="1"/>
  <c r="A1863" i="1"/>
  <c r="B1863" i="1"/>
</calcChain>
</file>

<file path=xl/sharedStrings.xml><?xml version="1.0" encoding="utf-8"?>
<sst xmlns="http://schemas.openxmlformats.org/spreadsheetml/2006/main" count="32" uniqueCount="32">
  <si>
    <t>Produced:</t>
  </si>
  <si>
    <t>Mois(C):</t>
  </si>
  <si>
    <t>Annee(C):</t>
  </si>
  <si>
    <t>BUREAU(C):</t>
  </si>
  <si>
    <t>SYSCOM(C):</t>
  </si>
  <si>
    <t>FLUX(C):</t>
  </si>
  <si>
    <t>PROVDEST(C):</t>
  </si>
  <si>
    <t>PRODUIT(B):</t>
  </si>
  <si>
    <t>Y Axis (1)</t>
  </si>
  <si>
    <t>PARTENAIRE(B):</t>
  </si>
  <si>
    <t>Y Axis (2)</t>
  </si>
  <si>
    <t>INDICATORS(B):</t>
  </si>
  <si>
    <t>X Axis (1)</t>
  </si>
  <si>
    <t>=t("MOTEURS À PISTON ALTERNATIF OU ROTATIF, À ALLUMAGE PAR ÉTINCELLES "MOTEURS À EXPLOSION" (AUTRES QUE MOTEURS POUR AÉRONEFS, MOTEURS POUR LA PROPULSION DE BATEAUX ET AUTRES QUE LES MOTEURS À PISTON ALTERNATIF DES TYPES UTILISÉS POUR LA PROPULSION DES VÉ</t>
  </si>
  <si>
    <t>=t("MOTEURS À PISTON, À ALLUMAGE PAR COMPRESSION "MOTEURS DIESEL OU SEMI-DIESEL", DES TYPES UTILISÉS POUR LA PROPULSION DES VÉHICULES DU CHAPITRE 87"")</t>
  </si>
  <si>
    <t>=t("MOTEURS À PISTON, À ALLUMAGE PAR COMPRESSION "MOTEURS DIESEL OU SEMI-DIESEL" (AUTRES QUE MOTEURS DE PROPULSION POUR BATEAUX ET SAUF MOTEURS DES TYPES UTILISÉS POUR LA PROPULSION DES VÉHICULES DU CHAPITRE 87)")</t>
  </si>
  <si>
    <t>=t("Groupes électrogènes à moteur à piston à allumage par compression "moteurs diesel ou semi-diesel", puissance &lt;= 75 kVA")</t>
  </si>
  <si>
    <t>=t("GROUPES ÉLECTROGÈNES À MOTEUR À PISTON À ALLUMAGE PAR COMPRESSION "MOTEUR DIESEL OU SEMI-DIESEL", PUISSANCE &gt; 375 KVA")</t>
  </si>
  <si>
    <t>=t("GROUPES ÉLECTROGÈNES À MOTEUR À PISTON À ALLUMAGE PAR ÉTINCELLES "MOTEUR À EXPLOSION"")</t>
  </si>
  <si>
    <t>=t("VÉHICULES POUR LE TRANSPORT DE &gt;= 10 PERSONNES, CHAUFFEUR INCLUS, AUTRES QU'À MOTEUR À PISTON À ALLUMAGE PAR COMPRESSION "MOTEUR DIESEL OU SEMI-DIESEL"")</t>
  </si>
  <si>
    <t xml:space="preserve">=t("VOITURES DE TOURISME ET AUTRES VÉHICULES PRINCIPALEMENT CONÇUS POUR LE TRANSPORT DE PERSONNES, Y.C. LES VOITURES DU TYPE 'BREAK' ET LES VOITURES DE COURSE, À MOTEUR À PISTON ALTERNATIF À ALLUMAGE PAR ÉTINCELLES "MOTEUR À EXPLOSION", CYLINDRÉE &gt; 1.000 </t>
  </si>
  <si>
    <t xml:space="preserve">=t("VOITURES DE TOURISME ET AUTRES VÉHICULES PRINCIPALEMENT CONÇUS POUR LE TRANSPORT DE PERSONNES, Y.C. LES VOITURES DU TYPE 'BREAK' ET LES VOITURES DE COURSE, À MOTEUR À PISTON ALTERNATIF À ALLUMAGE PAR ÉTINCELLES "MOTEUR À EXPLOSION", CYLINDRÉE &gt; 1.500 </t>
  </si>
  <si>
    <t xml:space="preserve">=t("VOITURES DE TOURISME ET AUTRES VÉHICULES PRINCIPALEMENT CONÇUS POUR LE TRANSPORT DE PERSONNES, Y.C. LES VOITURES DU TYPE 'BREAK' ET LES VOITURES DE COURSE, À MOTEUR À PISTON ALTERNATIF À ALLUMAGE PAR ÉTINCELLES "MOTEUR À EXPLOSION", CYLINDRÉE &gt; 3.000 </t>
  </si>
  <si>
    <t>=t("VOITURES DE TOURISME ET AUTRES VÉHICULES PRINCIPALEMENT CONÇUS POUR LE TRANSPORT DE PERSONNES, Y.C. LES VOITURES DU TYPE 'BREAK' ET LES VOITURES DE COURSE, À MOTEUR À PISTON À ALLUMAGE PAR COMPRESSION "MOTEUR DIESEL OU SEMI-DIESEL", CYLINDRÉE &lt;= 1.500</t>
  </si>
  <si>
    <t xml:space="preserve">=t("VOITURES DE TOURISME ET AUTRES VÉHICULES PRINCIPALEMENT CONÇUS POUR LE TRANSPORT DE PERSONNES, Y.C. LES VOITURES DU TYPE 'BREAK' ET LES VOITURES DE COURSE, À MOTEUR À PISTON À ALLUMAGE PAR COMPRESSION "MOTEUR DIESEL OU SEMI-DIESEL", CYLINDRÉE &gt; 1.500 </t>
  </si>
  <si>
    <t>=t("VOITURES DE TOURISME ET AUTRES VÉHICULES PRINCIPALEMENT CONÇUS POUR LE TRANSPORT DE PERSONNES, Y.C. LES VOITURES DU TYPE 'BREAK' ET LES VOITURES DE COURSE, À MOTEUR À PISTON À ALLUMAGE PAR COMPRESSION "MOTEUR DIESEL OU SEMI-DIESEL", CYLINDRÉE &gt; 2500 C</t>
  </si>
  <si>
    <t>=t("VÉHICULES POUR LE TRANSPORT DE MARCHANDISES, À MOTEUR À PISTON À ALLUMAGE PAR COMPRESSION "MOTEUR DIESEL OU SEMI-DIESEL", POIDS EN CHARGE MAXIMAL &lt;= 5 T (SAUF TOMBEREAUX AUTOMOTEURS DU N° 8704 ET VÉHICULES AUTOMOBILES À USAGES SPÉCIAUX DU N° 8705)")</t>
  </si>
  <si>
    <t>=t("VÉHICULES POUR LE TRANSPORT DE MARCHANDISES, À MOTEUR À PISTON À ALLUMAGE PAR COMPRESSION "MOTEUR DIESEL OU SEMI-DIESEL", POIDS EN CHARGE MAXIMAL &gt; 5 T MAIS &lt;= 20 T (SAUF TOMBEREAUX AUTOMOTEURS DU N° 8704.10, VÉHICULES AUTOMOBILES À USAGES SPÉCIAUX DU</t>
  </si>
  <si>
    <t>=t("VÉHICULES POUR LE TRANSPORT DE MARCHANDISES, À MOTEUR À PISTON À ALLUMAGE PAR COMPRESSION "MOTEUR DIESEL OU SEMI-DIESEL", POIDS EN CHARGE MAXIMAL &gt; 20 T (SAUF TOMBEREAUX AUTOMOTEURS DU N° 8704.10, VÉHICULES AUTOMOBILES À USAGES SPÉCIAUX DU N° 8705)")</t>
  </si>
  <si>
    <t>=t("VÉHICULES POUR LE TRANSPORT DE MARCHANDISES, À MOTEUR À PISTON À ALLUMAGE PAR ÉTINCELLES "MOTEUR À EXPLOSION", POIDS EN CHARGE MAXIMAL &lt;= 5 T (SAUF TOMBEREAUX AUTOMOTEURS DU N° 8704.10, VÉHICULES AUTOMOBILES À USAGES SPÉCIAUX DU N° 8705)")</t>
  </si>
  <si>
    <t>Source: Copyright © 1958 - 2003 European Community, Eurostat. All Rights Reserved. Comext: k0000040.txt  Extracted: 07/10/2014</t>
  </si>
  <si>
    <t>Table generation of Extraction from Plan "k0000037,mtx"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</si>
</sst>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6"/>
  <sheetViews>
    <sheetView tabSelected="1" topLeftCell="A14" workbookViewId="0">
      <selection activeCell="D14" activeCellId="1" sqref="C1:C1048576 D1:D1048576"/>
    </sheetView>
  </sheetViews>
  <sheetFormatPr baseColWidth="10" defaultRowHeight="15" x14ac:dyDescent="0.25"/>
  <sheetData>
    <row r="1" spans="1:4" x14ac:dyDescent="0.25">
      <c r="C1" t="s">
        <v>31</v>
      </c>
    </row>
    <row r="3" spans="1:4" x14ac:dyDescent="0.25">
      <c r="A3" t="s">
        <v>0</v>
      </c>
      <c r="B3" t="str">
        <f>T("07/10/2014")</f>
        <v>07/10/2014</v>
      </c>
    </row>
    <row r="4" spans="1:4" x14ac:dyDescent="0.25">
      <c r="A4" t="s">
        <v>1</v>
      </c>
      <c r="B4" t="str">
        <f>T("00")</f>
        <v>00</v>
      </c>
    </row>
    <row r="5" spans="1:4" x14ac:dyDescent="0.25">
      <c r="A5" t="s">
        <v>2</v>
      </c>
      <c r="B5" t="str">
        <f>T("2013")</f>
        <v>2013</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T("030379")</f>
        <v>030379</v>
      </c>
      <c r="B16" t="str">
        <f>T("POISSONS D'EAU DOUCE ET DE MER, COMESTIBLES, CONGELÉS (À L'EXCL. DES SALMONIDÉS, DES POISSONS PLATS, DES THONS, DES LISTAOS OU BONITES À VENTRE RAYÉ, DES HARENGS, DES MORUES, DES ESPADONS, DES LÉGINES, DES SARDINES, DES SARDINELLES, DES SPRATS OU ESPROTS,")</f>
        <v>POISSONS D'EAU DOUCE ET DE MER, COMESTIBLES, CONGELÉS (À L'EXCL. DES SALMONIDÉS, DES POISSONS PLATS, DES THONS, DES LISTAOS OU BONITES À VENTRE RAYÉ, DES HARENGS, DES MORUES, DES ESPADONS, DES LÉGINES, DES SARDINES, DES SARDINELLES, DES SPRATS OU ESPROTS,</v>
      </c>
    </row>
    <row r="17" spans="1:4" x14ac:dyDescent="0.25">
      <c r="A17" t="str">
        <f>T("   ZZZ_Monde")</f>
        <v xml:space="preserve">   ZZZ_Monde</v>
      </c>
      <c r="B17" t="str">
        <f>T("   ZZZ_Monde")</f>
        <v xml:space="preserve">   ZZZ_Monde</v>
      </c>
      <c r="C17">
        <v>119019917</v>
      </c>
      <c r="D17">
        <v>335230</v>
      </c>
    </row>
    <row r="18" spans="1:4" x14ac:dyDescent="0.25">
      <c r="A18" t="str">
        <f>T("   GH")</f>
        <v xml:space="preserve">   GH</v>
      </c>
      <c r="B18" t="str">
        <f>T("   Ghana")</f>
        <v xml:space="preserve">   Ghana</v>
      </c>
      <c r="C18">
        <v>9000000</v>
      </c>
      <c r="D18">
        <v>29700</v>
      </c>
    </row>
    <row r="19" spans="1:4" x14ac:dyDescent="0.25">
      <c r="A19" t="str">
        <f>T("   TG")</f>
        <v xml:space="preserve">   TG</v>
      </c>
      <c r="B19" t="str">
        <f>T("   Togo")</f>
        <v xml:space="preserve">   Togo</v>
      </c>
      <c r="C19">
        <v>81000771</v>
      </c>
      <c r="D19">
        <v>265530</v>
      </c>
    </row>
    <row r="20" spans="1:4" x14ac:dyDescent="0.25">
      <c r="A20" t="str">
        <f>T("   VN")</f>
        <v xml:space="preserve">   VN</v>
      </c>
      <c r="B20" t="str">
        <f>T("   Vietnam")</f>
        <v xml:space="preserve">   Vietnam</v>
      </c>
      <c r="C20">
        <v>29019146</v>
      </c>
      <c r="D20">
        <v>40000</v>
      </c>
    </row>
    <row r="21" spans="1:4" x14ac:dyDescent="0.25">
      <c r="A21" t="str">
        <f>T("030611")</f>
        <v>030611</v>
      </c>
      <c r="B21" t="str">
        <f>T("LANGOUSTES [PALINURUS SPP., PANULIRUS SPP., JASUS SPP]', MÊME DÉCORTIQUÉES, CONGELÉES, Y.C. LES LANGOUSTES NON-DÉCORTIQUÉES PRÉALABLEMENT CUITES À L'EAU OU À LA VAPEUR")</f>
        <v>LANGOUSTES [PALINURUS SPP., PANULIRUS SPP., JASUS SPP]', MÊME DÉCORTIQUÉES, CONGELÉES, Y.C. LES LANGOUSTES NON-DÉCORTIQUÉES PRÉALABLEMENT CUITES À L'EAU OU À LA VAPEUR</v>
      </c>
    </row>
    <row r="22" spans="1:4" x14ac:dyDescent="0.25">
      <c r="A22" t="str">
        <f>T("   ZZZ_Monde")</f>
        <v xml:space="preserve">   ZZZ_Monde</v>
      </c>
      <c r="B22" t="str">
        <f>T("   ZZZ_Monde")</f>
        <v xml:space="preserve">   ZZZ_Monde</v>
      </c>
      <c r="C22">
        <v>813000</v>
      </c>
      <c r="D22">
        <v>1904</v>
      </c>
    </row>
    <row r="23" spans="1:4" x14ac:dyDescent="0.25">
      <c r="A23" t="str">
        <f>T("   FR")</f>
        <v xml:space="preserve">   FR</v>
      </c>
      <c r="B23" t="str">
        <f>T("   France")</f>
        <v xml:space="preserve">   France</v>
      </c>
      <c r="C23">
        <v>813000</v>
      </c>
      <c r="D23">
        <v>1904</v>
      </c>
    </row>
    <row r="24" spans="1:4" x14ac:dyDescent="0.25">
      <c r="A24" t="str">
        <f>T("030621")</f>
        <v>030621</v>
      </c>
      <c r="B24" t="str">
        <f>T("Langoustes [Palinurus spp., Panulirus spp., Jasus spp.], même décortiquées, vivantes, fraîches, réfrigérées, séchées, salées ou en saumure, y.c. les langoustes non décortiquées préalablement cuites à l'eau ou à la vapeur")</f>
        <v>Langoustes [Palinurus spp., Panulirus spp., Jasus spp.], même décortiquées, vivantes, fraîches, réfrigérées, séchées, salées ou en saumure, y.c. les langoustes non décortiquées préalablement cuites à l'eau ou à la vapeur</v>
      </c>
    </row>
    <row r="25" spans="1:4" x14ac:dyDescent="0.25">
      <c r="A25" t="str">
        <f>T("   ZZZ_Monde")</f>
        <v xml:space="preserve">   ZZZ_Monde</v>
      </c>
      <c r="B25" t="str">
        <f>T("   ZZZ_Monde")</f>
        <v xml:space="preserve">   ZZZ_Monde</v>
      </c>
      <c r="C25">
        <v>280000</v>
      </c>
      <c r="D25">
        <v>304</v>
      </c>
    </row>
    <row r="26" spans="1:4" x14ac:dyDescent="0.25">
      <c r="A26" t="str">
        <f>T("   FR")</f>
        <v xml:space="preserve">   FR</v>
      </c>
      <c r="B26" t="str">
        <f>T("   France")</f>
        <v xml:space="preserve">   France</v>
      </c>
      <c r="C26">
        <v>280000</v>
      </c>
      <c r="D26">
        <v>304</v>
      </c>
    </row>
    <row r="27" spans="1:4" x14ac:dyDescent="0.25">
      <c r="A27" t="str">
        <f>T("030629")</f>
        <v>030629</v>
      </c>
      <c r="B27" t="str">
        <f>T("CRUSTACÉS, COMESTIBLES, MÊME DÉCORTIQUÉS, VIVANTS, FRAIS, RÉFRIGÉRÉS, SÉCHÉS, SALÉS OU EN SAUMURE, Y.C. LES CRUSTACÉS NON-DÉCORTIQUÉS PRÉALABLEMENT CUITS À L'EAU OU À LA VAPEUR (À L'EXCL. DES LANGOUSTES, DES HOMARDS, DES CREVETTES ET DES CRABES); FARINES,")</f>
        <v>CRUSTACÉS, COMESTIBLES, MÊME DÉCORTIQUÉS, VIVANTS, FRAIS, RÉFRIGÉRÉS, SÉCHÉS, SALÉS OU EN SAUMURE, Y.C. LES CRUSTACÉS NON-DÉCORTIQUÉS PRÉALABLEMENT CUITS À L'EAU OU À LA VAPEUR (À L'EXCL. DES LANGOUSTES, DES HOMARDS, DES CREVETTES ET DES CRABES); FARINES,</v>
      </c>
    </row>
    <row r="28" spans="1:4" x14ac:dyDescent="0.25">
      <c r="A28" t="str">
        <f>T("   ZZZ_Monde")</f>
        <v xml:space="preserve">   ZZZ_Monde</v>
      </c>
      <c r="B28" t="str">
        <f>T("   ZZZ_Monde")</f>
        <v xml:space="preserve">   ZZZ_Monde</v>
      </c>
      <c r="C28">
        <v>80000</v>
      </c>
      <c r="D28">
        <v>80</v>
      </c>
    </row>
    <row r="29" spans="1:4" x14ac:dyDescent="0.25">
      <c r="A29" t="str">
        <f>T("   FR")</f>
        <v xml:space="preserve">   FR</v>
      </c>
      <c r="B29" t="str">
        <f>T("   France")</f>
        <v xml:space="preserve">   France</v>
      </c>
      <c r="C29">
        <v>80000</v>
      </c>
      <c r="D29">
        <v>80</v>
      </c>
    </row>
    <row r="30" spans="1:4" x14ac:dyDescent="0.25">
      <c r="A30" t="str">
        <f>T("040110")</f>
        <v>040110</v>
      </c>
      <c r="B30" t="str">
        <f>T("LAIT ET CRÈME DE LAIT, NON-CONCENTRÉS NI ADDITIONNÉS DE SUCRE OU D'AUTRES ÉDULCORANTS, D'UNE TENEUR EN POIDS DE MATIÈRES GRASSES &lt;= 1%")</f>
        <v>LAIT ET CRÈME DE LAIT, NON-CONCENTRÉS NI ADDITIONNÉS DE SUCRE OU D'AUTRES ÉDULCORANTS, D'UNE TENEUR EN POIDS DE MATIÈRES GRASSES &lt;= 1%</v>
      </c>
    </row>
    <row r="31" spans="1:4" x14ac:dyDescent="0.25">
      <c r="A31" t="str">
        <f>T("   ZZZ_Monde")</f>
        <v xml:space="preserve">   ZZZ_Monde</v>
      </c>
      <c r="B31" t="str">
        <f>T("   ZZZ_Monde")</f>
        <v xml:space="preserve">   ZZZ_Monde</v>
      </c>
      <c r="C31">
        <v>54000</v>
      </c>
      <c r="D31">
        <v>150</v>
      </c>
    </row>
    <row r="32" spans="1:4" x14ac:dyDescent="0.25">
      <c r="A32" t="str">
        <f>T("   FR")</f>
        <v xml:space="preserve">   FR</v>
      </c>
      <c r="B32" t="str">
        <f>T("   France")</f>
        <v xml:space="preserve">   France</v>
      </c>
      <c r="C32">
        <v>54000</v>
      </c>
      <c r="D32">
        <v>150</v>
      </c>
    </row>
    <row r="33" spans="1:4" x14ac:dyDescent="0.25">
      <c r="A33" t="str">
        <f>T("040510")</f>
        <v>040510</v>
      </c>
      <c r="B33" t="str">
        <f>T("Beurre (sauf beurre déshydraté et ghee)")</f>
        <v>Beurre (sauf beurre déshydraté et ghee)</v>
      </c>
    </row>
    <row r="34" spans="1:4" x14ac:dyDescent="0.25">
      <c r="A34" t="str">
        <f>T("   ZZZ_Monde")</f>
        <v xml:space="preserve">   ZZZ_Monde</v>
      </c>
      <c r="B34" t="str">
        <f>T("   ZZZ_Monde")</f>
        <v xml:space="preserve">   ZZZ_Monde</v>
      </c>
      <c r="C34">
        <v>2528502136</v>
      </c>
      <c r="D34">
        <v>4179949</v>
      </c>
    </row>
    <row r="35" spans="1:4" x14ac:dyDescent="0.25">
      <c r="A35" t="str">
        <f>T("   MA")</f>
        <v xml:space="preserve">   MA</v>
      </c>
      <c r="B35" t="str">
        <f>T("   Maroc")</f>
        <v xml:space="preserve">   Maroc</v>
      </c>
      <c r="C35">
        <v>590000</v>
      </c>
      <c r="D35">
        <v>500</v>
      </c>
    </row>
    <row r="36" spans="1:4" x14ac:dyDescent="0.25">
      <c r="A36" t="str">
        <f>T("   MY")</f>
        <v xml:space="preserve">   MY</v>
      </c>
      <c r="B36" t="str">
        <f>T("   Malaisie")</f>
        <v xml:space="preserve">   Malaisie</v>
      </c>
      <c r="C36">
        <v>1921850536</v>
      </c>
      <c r="D36">
        <v>3232480</v>
      </c>
    </row>
    <row r="37" spans="1:4" x14ac:dyDescent="0.25">
      <c r="A37" t="str">
        <f>T("   NL")</f>
        <v xml:space="preserve">   NL</v>
      </c>
      <c r="B37" t="str">
        <f>T("   Pays-bas")</f>
        <v xml:space="preserve">   Pays-bas</v>
      </c>
      <c r="C37">
        <v>606061600</v>
      </c>
      <c r="D37">
        <v>946969</v>
      </c>
    </row>
    <row r="38" spans="1:4" x14ac:dyDescent="0.25">
      <c r="A38" t="str">
        <f>T("040590")</f>
        <v>040590</v>
      </c>
      <c r="B38" t="str">
        <f>T("Matières grasses provenant du lait ainsi que beurre déshydraté et ghee (à l'excl. du beurre naturel, du beurre recombiné et du beurre de lactosérum)")</f>
        <v>Matières grasses provenant du lait ainsi que beurre déshydraté et ghee (à l'excl. du beurre naturel, du beurre recombiné et du beurre de lactosérum)</v>
      </c>
    </row>
    <row r="39" spans="1:4" x14ac:dyDescent="0.25">
      <c r="A39" t="str">
        <f>T("   ZZZ_Monde")</f>
        <v xml:space="preserve">   ZZZ_Monde</v>
      </c>
      <c r="B39" t="str">
        <f>T("   ZZZ_Monde")</f>
        <v xml:space="preserve">   ZZZ_Monde</v>
      </c>
      <c r="C39">
        <v>20800</v>
      </c>
      <c r="D39">
        <v>280</v>
      </c>
    </row>
    <row r="40" spans="1:4" x14ac:dyDescent="0.25">
      <c r="A40" t="str">
        <f>T("   FR")</f>
        <v xml:space="preserve">   FR</v>
      </c>
      <c r="B40" t="str">
        <f>T("   France")</f>
        <v xml:space="preserve">   France</v>
      </c>
      <c r="C40">
        <v>10000</v>
      </c>
      <c r="D40">
        <v>10</v>
      </c>
    </row>
    <row r="41" spans="1:4" x14ac:dyDescent="0.25">
      <c r="A41" t="str">
        <f>T("   IT")</f>
        <v xml:space="preserve">   IT</v>
      </c>
      <c r="B41" t="str">
        <f>T("   Italie")</f>
        <v xml:space="preserve">   Italie</v>
      </c>
      <c r="C41">
        <v>10800</v>
      </c>
      <c r="D41">
        <v>270</v>
      </c>
    </row>
    <row r="42" spans="1:4" x14ac:dyDescent="0.25">
      <c r="A42" t="str">
        <f>T("051191")</f>
        <v>051191</v>
      </c>
      <c r="B42" t="str">
        <f>T("Produits de poissons ou de crustacés, mollusques ou autres invertébrés aquatiques; poissons, crustacés, mollusques ou autres invertébrés aquatiques, morts, impropres à l'alimentation humaine")</f>
        <v>Produits de poissons ou de crustacés, mollusques ou autres invertébrés aquatiques; poissons, crustacés, mollusques ou autres invertébrés aquatiques, morts, impropres à l'alimentation humaine</v>
      </c>
    </row>
    <row r="43" spans="1:4" x14ac:dyDescent="0.25">
      <c r="A43" t="str">
        <f>T("   ZZZ_Monde")</f>
        <v xml:space="preserve">   ZZZ_Monde</v>
      </c>
      <c r="B43" t="str">
        <f>T("   ZZZ_Monde")</f>
        <v xml:space="preserve">   ZZZ_Monde</v>
      </c>
      <c r="C43">
        <v>58000</v>
      </c>
      <c r="D43">
        <v>50</v>
      </c>
    </row>
    <row r="44" spans="1:4" x14ac:dyDescent="0.25">
      <c r="A44" t="str">
        <f>T("   CA")</f>
        <v xml:space="preserve">   CA</v>
      </c>
      <c r="B44" t="str">
        <f>T("   Canada")</f>
        <v xml:space="preserve">   Canada</v>
      </c>
      <c r="C44">
        <v>58000</v>
      </c>
      <c r="D44">
        <v>50</v>
      </c>
    </row>
    <row r="45" spans="1:4" x14ac:dyDescent="0.25">
      <c r="A45" t="str">
        <f>T("060499")</f>
        <v>060499</v>
      </c>
      <c r="B45" t="str">
        <f>T("Feuillages, feuilles, rameaux et autres parties de plantes, sans fleurs ni boutons de fleurs, et herbes, pour bouquets ou pour ornements, séchés, blanchis, teints, imprégnés ou autrement travaillés")</f>
        <v>Feuillages, feuilles, rameaux et autres parties de plantes, sans fleurs ni boutons de fleurs, et herbes, pour bouquets ou pour ornements, séchés, blanchis, teints, imprégnés ou autrement travaillés</v>
      </c>
    </row>
    <row r="46" spans="1:4" x14ac:dyDescent="0.25">
      <c r="A46" t="str">
        <f>T("   ZZZ_Monde")</f>
        <v xml:space="preserve">   ZZZ_Monde</v>
      </c>
      <c r="B46" t="str">
        <f>T("   ZZZ_Monde")</f>
        <v xml:space="preserve">   ZZZ_Monde</v>
      </c>
      <c r="C46">
        <v>1057500</v>
      </c>
      <c r="D46">
        <v>14280</v>
      </c>
    </row>
    <row r="47" spans="1:4" x14ac:dyDescent="0.25">
      <c r="A47" t="str">
        <f>T("   CG")</f>
        <v xml:space="preserve">   CG</v>
      </c>
      <c r="B47" t="str">
        <f>T("   Congo (Brazzaville)")</f>
        <v xml:space="preserve">   Congo (Brazzaville)</v>
      </c>
      <c r="C47">
        <v>550000</v>
      </c>
      <c r="D47">
        <v>12230</v>
      </c>
    </row>
    <row r="48" spans="1:4" x14ac:dyDescent="0.25">
      <c r="A48" t="str">
        <f>T("   GA")</f>
        <v xml:space="preserve">   GA</v>
      </c>
      <c r="B48" t="str">
        <f>T("   Gabon")</f>
        <v xml:space="preserve">   Gabon</v>
      </c>
      <c r="C48">
        <v>300000</v>
      </c>
      <c r="D48">
        <v>1650</v>
      </c>
    </row>
    <row r="49" spans="1:4" x14ac:dyDescent="0.25">
      <c r="A49" t="str">
        <f>T("   GH")</f>
        <v xml:space="preserve">   GH</v>
      </c>
      <c r="B49" t="str">
        <f>T("   Ghana")</f>
        <v xml:space="preserve">   Ghana</v>
      </c>
      <c r="C49">
        <v>207500</v>
      </c>
      <c r="D49">
        <v>400</v>
      </c>
    </row>
    <row r="50" spans="1:4" x14ac:dyDescent="0.25">
      <c r="A50" t="str">
        <f>T("070810")</f>
        <v>070810</v>
      </c>
      <c r="B50" t="str">
        <f>T("Pois 'Pisum sativum', écossés ou non, à l'état frais ou réfrigéré")</f>
        <v>Pois 'Pisum sativum', écossés ou non, à l'état frais ou réfrigéré</v>
      </c>
    </row>
    <row r="51" spans="1:4" x14ac:dyDescent="0.25">
      <c r="A51" t="str">
        <f>T("   ZZZ_Monde")</f>
        <v xml:space="preserve">   ZZZ_Monde</v>
      </c>
      <c r="B51" t="str">
        <f>T("   ZZZ_Monde")</f>
        <v xml:space="preserve">   ZZZ_Monde</v>
      </c>
      <c r="C51">
        <v>6580293</v>
      </c>
      <c r="D51">
        <v>22550</v>
      </c>
    </row>
    <row r="52" spans="1:4" x14ac:dyDescent="0.25">
      <c r="A52" t="str">
        <f>T("   CI")</f>
        <v xml:space="preserve">   CI</v>
      </c>
      <c r="B52" t="str">
        <f>T("   Côte d'Ivoire")</f>
        <v xml:space="preserve">   Côte d'Ivoire</v>
      </c>
      <c r="C52">
        <v>6580293</v>
      </c>
      <c r="D52">
        <v>22550</v>
      </c>
    </row>
    <row r="53" spans="1:4" x14ac:dyDescent="0.25">
      <c r="A53" t="str">
        <f>T("071029")</f>
        <v>071029</v>
      </c>
      <c r="B53" t="str">
        <f>T("Légumes à cosse, écossés ou non, non cuits ou cuits à l'eau ou à la vapeur, congelés (à l'excl. des pois 'Pisum sativum' et des haricots 'Vigna spp., Phaseolus spp.')")</f>
        <v>Légumes à cosse, écossés ou non, non cuits ou cuits à l'eau ou à la vapeur, congelés (à l'excl. des pois 'Pisum sativum' et des haricots 'Vigna spp., Phaseolus spp.')</v>
      </c>
    </row>
    <row r="54" spans="1:4" x14ac:dyDescent="0.25">
      <c r="A54" t="str">
        <f>T("   ZZZ_Monde")</f>
        <v xml:space="preserve">   ZZZ_Monde</v>
      </c>
      <c r="B54" t="str">
        <f>T("   ZZZ_Monde")</f>
        <v xml:space="preserve">   ZZZ_Monde</v>
      </c>
      <c r="C54">
        <v>2000000</v>
      </c>
      <c r="D54">
        <v>1000</v>
      </c>
    </row>
    <row r="55" spans="1:4" x14ac:dyDescent="0.25">
      <c r="A55" t="str">
        <f>T("   CG")</f>
        <v xml:space="preserve">   CG</v>
      </c>
      <c r="B55" t="str">
        <f>T("   Congo (Brazzaville)")</f>
        <v xml:space="preserve">   Congo (Brazzaville)</v>
      </c>
      <c r="C55">
        <v>2000000</v>
      </c>
      <c r="D55">
        <v>1000</v>
      </c>
    </row>
    <row r="56" spans="1:4" x14ac:dyDescent="0.25">
      <c r="A56" t="str">
        <f>T("071339")</f>
        <v>071339</v>
      </c>
      <c r="B56" t="str">
        <f>T("Haricots 'Vigna spp., Phaseolus spp.', secs, écossés, même décortiqués ou cassés (à l'excl. des haricots des espèces 'Vigna mungo L. Hepper ou Vigna radiata L. Wilczek', des haricots 'petits rouges' [haricots Adzuki] et des haricots communs)")</f>
        <v>Haricots 'Vigna spp., Phaseolus spp.', secs, écossés, même décortiqués ou cassés (à l'excl. des haricots des espèces 'Vigna mungo L. Hepper ou Vigna radiata L. Wilczek', des haricots 'petits rouges' [haricots Adzuki] et des haricots communs)</v>
      </c>
    </row>
    <row r="57" spans="1:4" x14ac:dyDescent="0.25">
      <c r="A57" t="str">
        <f>T("   ZZZ_Monde")</f>
        <v xml:space="preserve">   ZZZ_Monde</v>
      </c>
      <c r="B57" t="str">
        <f>T("   ZZZ_Monde")</f>
        <v xml:space="preserve">   ZZZ_Monde</v>
      </c>
      <c r="C57">
        <v>400000</v>
      </c>
      <c r="D57">
        <v>90450</v>
      </c>
    </row>
    <row r="58" spans="1:4" x14ac:dyDescent="0.25">
      <c r="A58" t="str">
        <f>T("   CI")</f>
        <v xml:space="preserve">   CI</v>
      </c>
      <c r="B58" t="str">
        <f>T("   Côte d'Ivoire")</f>
        <v xml:space="preserve">   Côte d'Ivoire</v>
      </c>
      <c r="C58">
        <v>400000</v>
      </c>
      <c r="D58">
        <v>90450</v>
      </c>
    </row>
    <row r="59" spans="1:4" x14ac:dyDescent="0.25">
      <c r="A59" t="str">
        <f>T("071420")</f>
        <v>071420</v>
      </c>
      <c r="B59" t="str">
        <f>T("Patates douces, fraîches, réfrigérées, congelées ou séchées, même débitées en morceaux ou agglomérées sous forme de pellets")</f>
        <v>Patates douces, fraîches, réfrigérées, congelées ou séchées, même débitées en morceaux ou agglomérées sous forme de pellets</v>
      </c>
    </row>
    <row r="60" spans="1:4" x14ac:dyDescent="0.25">
      <c r="A60" t="str">
        <f>T("   ZZZ_Monde")</f>
        <v xml:space="preserve">   ZZZ_Monde</v>
      </c>
      <c r="B60" t="str">
        <f>T("   ZZZ_Monde")</f>
        <v xml:space="preserve">   ZZZ_Monde</v>
      </c>
      <c r="C60">
        <v>910800</v>
      </c>
      <c r="D60">
        <v>18216</v>
      </c>
    </row>
    <row r="61" spans="1:4" x14ac:dyDescent="0.25">
      <c r="A61" t="str">
        <f>T("   FR")</f>
        <v xml:space="preserve">   FR</v>
      </c>
      <c r="B61" t="str">
        <f>T("   France")</f>
        <v xml:space="preserve">   France</v>
      </c>
      <c r="C61">
        <v>910800</v>
      </c>
      <c r="D61">
        <v>18216</v>
      </c>
    </row>
    <row r="62" spans="1:4" x14ac:dyDescent="0.25">
      <c r="A62" t="str">
        <f>T("071490")</f>
        <v>071490</v>
      </c>
      <c r="B62" t="str">
        <f>T("Racines d'arrow-root ou de salep, topinambours et racines et tubercules simil. à haute teneur en fécule ou en inuline, frais, réfrigérés, congelés ou séchés, même débités en morceaux ou agglomérés sous forme de pellets et moelle de sagoutier (à l'excl. de")</f>
        <v>Racines d'arrow-root ou de salep, topinambours et racines et tubercules simil. à haute teneur en fécule ou en inuline, frais, réfrigérés, congelés ou séchés, même débités en morceaux ou agglomérés sous forme de pellets et moelle de sagoutier (à l'excl. de</v>
      </c>
    </row>
    <row r="63" spans="1:4" x14ac:dyDescent="0.25">
      <c r="A63" t="str">
        <f>T("   ZZZ_Monde")</f>
        <v xml:space="preserve">   ZZZ_Monde</v>
      </c>
      <c r="B63" t="str">
        <f>T("   ZZZ_Monde")</f>
        <v xml:space="preserve">   ZZZ_Monde</v>
      </c>
      <c r="C63">
        <v>18741500</v>
      </c>
      <c r="D63">
        <v>233300</v>
      </c>
    </row>
    <row r="64" spans="1:4" x14ac:dyDescent="0.25">
      <c r="A64" t="str">
        <f>T("   FR")</f>
        <v xml:space="preserve">   FR</v>
      </c>
      <c r="B64" t="str">
        <f>T("   France")</f>
        <v xml:space="preserve">   France</v>
      </c>
      <c r="C64">
        <v>22500</v>
      </c>
      <c r="D64">
        <v>300</v>
      </c>
    </row>
    <row r="65" spans="1:4" x14ac:dyDescent="0.25">
      <c r="A65" t="str">
        <f>T("   GA")</f>
        <v xml:space="preserve">   GA</v>
      </c>
      <c r="B65" t="str">
        <f>T("   Gabon")</f>
        <v xml:space="preserve">   Gabon</v>
      </c>
      <c r="C65">
        <v>18719000</v>
      </c>
      <c r="D65">
        <v>233000</v>
      </c>
    </row>
    <row r="66" spans="1:4" x14ac:dyDescent="0.25">
      <c r="A66" t="str">
        <f>T("080131")</f>
        <v>080131</v>
      </c>
      <c r="B66" t="str">
        <f>T("Noix de cajou, fraîches ou sèches, en coques")</f>
        <v>Noix de cajou, fraîches ou sèches, en coques</v>
      </c>
    </row>
    <row r="67" spans="1:4" x14ac:dyDescent="0.25">
      <c r="A67" t="str">
        <f>T("   ZZZ_Monde")</f>
        <v xml:space="preserve">   ZZZ_Monde</v>
      </c>
      <c r="B67" t="str">
        <f>T("   ZZZ_Monde")</f>
        <v xml:space="preserve">   ZZZ_Monde</v>
      </c>
      <c r="C67">
        <v>30653827430</v>
      </c>
      <c r="D67">
        <v>115354573</v>
      </c>
    </row>
    <row r="68" spans="1:4" x14ac:dyDescent="0.25">
      <c r="A68" t="str">
        <f>T("   AE")</f>
        <v xml:space="preserve">   AE</v>
      </c>
      <c r="B68" t="str">
        <f>T("   Emirats Arabes Unis")</f>
        <v xml:space="preserve">   Emirats Arabes Unis</v>
      </c>
      <c r="C68">
        <v>50660783</v>
      </c>
      <c r="D68">
        <v>106228</v>
      </c>
    </row>
    <row r="69" spans="1:4" x14ac:dyDescent="0.25">
      <c r="A69" t="str">
        <f>T("   CN")</f>
        <v xml:space="preserve">   CN</v>
      </c>
      <c r="B69" t="str">
        <f>T("   Chine")</f>
        <v xml:space="preserve">   Chine</v>
      </c>
      <c r="C69">
        <v>457253200</v>
      </c>
      <c r="D69">
        <v>2178369</v>
      </c>
    </row>
    <row r="70" spans="1:4" x14ac:dyDescent="0.25">
      <c r="A70" t="str">
        <f>T("   IN")</f>
        <v xml:space="preserve">   IN</v>
      </c>
      <c r="B70" t="str">
        <f>T("   Inde")</f>
        <v xml:space="preserve">   Inde</v>
      </c>
      <c r="C70">
        <v>23655932375</v>
      </c>
      <c r="D70">
        <v>89892937</v>
      </c>
    </row>
    <row r="71" spans="1:4" x14ac:dyDescent="0.25">
      <c r="A71" t="str">
        <f>T("   IT")</f>
        <v xml:space="preserve">   IT</v>
      </c>
      <c r="B71" t="str">
        <f>T("   Italie")</f>
        <v xml:space="preserve">   Italie</v>
      </c>
      <c r="C71">
        <v>8000000</v>
      </c>
      <c r="D71">
        <v>160000</v>
      </c>
    </row>
    <row r="72" spans="1:4" x14ac:dyDescent="0.25">
      <c r="A72" t="str">
        <f>T("   MA")</f>
        <v xml:space="preserve">   MA</v>
      </c>
      <c r="B72" t="str">
        <f>T("   Maroc")</f>
        <v xml:space="preserve">   Maroc</v>
      </c>
      <c r="C72">
        <v>32405400</v>
      </c>
      <c r="D72">
        <v>149770</v>
      </c>
    </row>
    <row r="73" spans="1:4" x14ac:dyDescent="0.25">
      <c r="A73" t="str">
        <f>T("   MC")</f>
        <v xml:space="preserve">   MC</v>
      </c>
      <c r="B73" t="str">
        <f>T("   Monaco")</f>
        <v xml:space="preserve">   Monaco</v>
      </c>
      <c r="C73">
        <v>6456200</v>
      </c>
      <c r="D73">
        <v>32281</v>
      </c>
    </row>
    <row r="74" spans="1:4" x14ac:dyDescent="0.25">
      <c r="A74" t="str">
        <f>T("   NL")</f>
        <v xml:space="preserve">   NL</v>
      </c>
      <c r="B74" t="str">
        <f>T("   Pays-bas")</f>
        <v xml:space="preserve">   Pays-bas</v>
      </c>
      <c r="C74">
        <v>44651250</v>
      </c>
      <c r="D74">
        <v>15876</v>
      </c>
    </row>
    <row r="75" spans="1:4" x14ac:dyDescent="0.25">
      <c r="A75" t="str">
        <f>T("   SG")</f>
        <v xml:space="preserve">   SG</v>
      </c>
      <c r="B75" t="str">
        <f>T("   Singapour")</f>
        <v xml:space="preserve">   Singapour</v>
      </c>
      <c r="C75">
        <v>1617633013</v>
      </c>
      <c r="D75">
        <v>5891296</v>
      </c>
    </row>
    <row r="76" spans="1:4" x14ac:dyDescent="0.25">
      <c r="A76" t="str">
        <f>T("   VN")</f>
        <v xml:space="preserve">   VN</v>
      </c>
      <c r="B76" t="str">
        <f>T("   Vietnam")</f>
        <v xml:space="preserve">   Vietnam</v>
      </c>
      <c r="C76">
        <v>4780835209</v>
      </c>
      <c r="D76">
        <v>16927816</v>
      </c>
    </row>
    <row r="77" spans="1:4" x14ac:dyDescent="0.25">
      <c r="A77" t="str">
        <f>T("080132")</f>
        <v>080132</v>
      </c>
      <c r="B77" t="str">
        <f>T("Noix de cajou, fraîches ou sèches, sans coques")</f>
        <v>Noix de cajou, fraîches ou sèches, sans coques</v>
      </c>
    </row>
    <row r="78" spans="1:4" x14ac:dyDescent="0.25">
      <c r="A78" t="str">
        <f>T("   ZZZ_Monde")</f>
        <v xml:space="preserve">   ZZZ_Monde</v>
      </c>
      <c r="B78" t="str">
        <f>T("   ZZZ_Monde")</f>
        <v xml:space="preserve">   ZZZ_Monde</v>
      </c>
      <c r="C78">
        <v>24000000</v>
      </c>
      <c r="D78">
        <v>120000</v>
      </c>
    </row>
    <row r="79" spans="1:4" x14ac:dyDescent="0.25">
      <c r="A79" t="str">
        <f>T("   CN")</f>
        <v xml:space="preserve">   CN</v>
      </c>
      <c r="B79" t="str">
        <f>T("   Chine")</f>
        <v xml:space="preserve">   Chine</v>
      </c>
      <c r="C79">
        <v>24000000</v>
      </c>
      <c r="D79">
        <v>120000</v>
      </c>
    </row>
    <row r="80" spans="1:4" x14ac:dyDescent="0.25">
      <c r="A80" t="str">
        <f>T("080211")</f>
        <v>080211</v>
      </c>
      <c r="B80" t="str">
        <f>T("Amandes, fraîches ou sèches, en coques")</f>
        <v>Amandes, fraîches ou sèches, en coques</v>
      </c>
    </row>
    <row r="81" spans="1:4" x14ac:dyDescent="0.25">
      <c r="A81" t="str">
        <f>T("   ZZZ_Monde")</f>
        <v xml:space="preserve">   ZZZ_Monde</v>
      </c>
      <c r="B81" t="str">
        <f>T("   ZZZ_Monde")</f>
        <v xml:space="preserve">   ZZZ_Monde</v>
      </c>
      <c r="C81">
        <v>6981242144</v>
      </c>
      <c r="D81">
        <v>24831297</v>
      </c>
    </row>
    <row r="82" spans="1:4" x14ac:dyDescent="0.25">
      <c r="A82" t="str">
        <f>T("   DK")</f>
        <v xml:space="preserve">   DK</v>
      </c>
      <c r="B82" t="str">
        <f>T("   Danemark")</f>
        <v xml:space="preserve">   Danemark</v>
      </c>
      <c r="C82">
        <v>5382555215</v>
      </c>
      <c r="D82">
        <v>24270000</v>
      </c>
    </row>
    <row r="83" spans="1:4" x14ac:dyDescent="0.25">
      <c r="A83" t="str">
        <f>T("   GB")</f>
        <v xml:space="preserve">   GB</v>
      </c>
      <c r="B83" t="str">
        <f>T("   Royaume-Uni")</f>
        <v xml:space="preserve">   Royaume-Uni</v>
      </c>
      <c r="C83">
        <v>271424833</v>
      </c>
      <c r="D83">
        <v>95469</v>
      </c>
    </row>
    <row r="84" spans="1:4" x14ac:dyDescent="0.25">
      <c r="A84" t="str">
        <f>T("   NL")</f>
        <v xml:space="preserve">   NL</v>
      </c>
      <c r="B84" t="str">
        <f>T("   Pays-bas")</f>
        <v xml:space="preserve">   Pays-bas</v>
      </c>
      <c r="C84">
        <v>88976250</v>
      </c>
      <c r="D84">
        <v>31636</v>
      </c>
    </row>
    <row r="85" spans="1:4" x14ac:dyDescent="0.25">
      <c r="A85" t="str">
        <f>T("   US")</f>
        <v xml:space="preserve">   US</v>
      </c>
      <c r="B85" t="str">
        <f>T("   Etats-Unis")</f>
        <v xml:space="preserve">   Etats-Unis</v>
      </c>
      <c r="C85">
        <v>1192052666</v>
      </c>
      <c r="D85">
        <v>403370</v>
      </c>
    </row>
    <row r="86" spans="1:4" x14ac:dyDescent="0.25">
      <c r="A86" t="str">
        <f>T("   VN")</f>
        <v xml:space="preserve">   VN</v>
      </c>
      <c r="B86" t="str">
        <f>T("   Vietnam")</f>
        <v xml:space="preserve">   Vietnam</v>
      </c>
      <c r="C86">
        <v>46233180</v>
      </c>
      <c r="D86">
        <v>30822</v>
      </c>
    </row>
    <row r="87" spans="1:4" x14ac:dyDescent="0.25">
      <c r="A87" t="str">
        <f>T("080212")</f>
        <v>080212</v>
      </c>
      <c r="B87" t="str">
        <f>T("Amandes, fraîches ou sèches, sans coques, même décortiquées")</f>
        <v>Amandes, fraîches ou sèches, sans coques, même décortiquées</v>
      </c>
    </row>
    <row r="88" spans="1:4" x14ac:dyDescent="0.25">
      <c r="A88" t="str">
        <f>T("   ZZZ_Monde")</f>
        <v xml:space="preserve">   ZZZ_Monde</v>
      </c>
      <c r="B88" t="str">
        <f>T("   ZZZ_Monde")</f>
        <v xml:space="preserve">   ZZZ_Monde</v>
      </c>
      <c r="C88">
        <v>272822527</v>
      </c>
      <c r="D88">
        <v>768656</v>
      </c>
    </row>
    <row r="89" spans="1:4" x14ac:dyDescent="0.25">
      <c r="A89" t="str">
        <f>T("   IN")</f>
        <v xml:space="preserve">   IN</v>
      </c>
      <c r="B89" t="str">
        <f>T("   Inde")</f>
        <v xml:space="preserve">   Inde</v>
      </c>
      <c r="C89">
        <v>114889920</v>
      </c>
      <c r="D89">
        <v>718062</v>
      </c>
    </row>
    <row r="90" spans="1:4" x14ac:dyDescent="0.25">
      <c r="A90" t="str">
        <f>T("   US")</f>
        <v xml:space="preserve">   US</v>
      </c>
      <c r="B90" t="str">
        <f>T("   Etats-Unis")</f>
        <v xml:space="preserve">   Etats-Unis</v>
      </c>
      <c r="C90">
        <v>157932607</v>
      </c>
      <c r="D90">
        <v>50594</v>
      </c>
    </row>
    <row r="91" spans="1:4" x14ac:dyDescent="0.25">
      <c r="A91" t="str">
        <f>T("080290")</f>
        <v>080290</v>
      </c>
      <c r="B91" t="str">
        <f>T("FRUITS À COQUES, FRAIS OU SECS, MÊME SANS LEURS COQUES OU DÉCORTIQUÉS (À L'EXCL. DES NOIX DE COCO, DU BRÉSIL OU DE CAJOU AINSI QUE DES AMANDES, DES NOISETTES, DES NOIX COMMUNES, DES CHÂTAIGNES, DES MARRONS, DES PISTACHESE ET DES NOIX MACADAMIA)")</f>
        <v>FRUITS À COQUES, FRAIS OU SECS, MÊME SANS LEURS COQUES OU DÉCORTIQUÉS (À L'EXCL. DES NOIX DE COCO, DU BRÉSIL OU DE CAJOU AINSI QUE DES AMANDES, DES NOISETTES, DES NOIX COMMUNES, DES CHÂTAIGNES, DES MARRONS, DES PISTACHESE ET DES NOIX MACADAMIA)</v>
      </c>
    </row>
    <row r="92" spans="1:4" x14ac:dyDescent="0.25">
      <c r="A92" t="str">
        <f>T("   ZZZ_Monde")</f>
        <v xml:space="preserve">   ZZZ_Monde</v>
      </c>
      <c r="B92" t="str">
        <f>T("   ZZZ_Monde")</f>
        <v xml:space="preserve">   ZZZ_Monde</v>
      </c>
      <c r="C92">
        <v>16302090</v>
      </c>
      <c r="D92">
        <v>36860</v>
      </c>
    </row>
    <row r="93" spans="1:4" x14ac:dyDescent="0.25">
      <c r="A93" t="str">
        <f>T("   VN")</f>
        <v xml:space="preserve">   VN</v>
      </c>
      <c r="B93" t="str">
        <f>T("   Vietnam")</f>
        <v xml:space="preserve">   Vietnam</v>
      </c>
      <c r="C93">
        <v>16302090</v>
      </c>
      <c r="D93">
        <v>36860</v>
      </c>
    </row>
    <row r="94" spans="1:4" x14ac:dyDescent="0.25">
      <c r="A94" t="str">
        <f>T("080430")</f>
        <v>080430</v>
      </c>
      <c r="B94" t="str">
        <f>T("Ananas, frais ou secs")</f>
        <v>Ananas, frais ou secs</v>
      </c>
    </row>
    <row r="95" spans="1:4" x14ac:dyDescent="0.25">
      <c r="A95" t="str">
        <f>T("   ZZZ_Monde")</f>
        <v xml:space="preserve">   ZZZ_Monde</v>
      </c>
      <c r="B95" t="str">
        <f>T("   ZZZ_Monde")</f>
        <v xml:space="preserve">   ZZZ_Monde</v>
      </c>
      <c r="C95">
        <v>78732484</v>
      </c>
      <c r="D95">
        <v>1118493</v>
      </c>
    </row>
    <row r="96" spans="1:4" x14ac:dyDescent="0.25">
      <c r="A96" t="str">
        <f>T("   BE")</f>
        <v xml:space="preserve">   BE</v>
      </c>
      <c r="B96" t="str">
        <f>T("   Belgique")</f>
        <v xml:space="preserve">   Belgique</v>
      </c>
      <c r="C96">
        <v>7373176</v>
      </c>
      <c r="D96">
        <v>84890</v>
      </c>
    </row>
    <row r="97" spans="1:4" x14ac:dyDescent="0.25">
      <c r="A97" t="str">
        <f>T("   BR")</f>
        <v xml:space="preserve">   BR</v>
      </c>
      <c r="B97" t="str">
        <f>T("   Brésil")</f>
        <v xml:space="preserve">   Brésil</v>
      </c>
      <c r="C97">
        <v>82800</v>
      </c>
      <c r="D97">
        <v>690</v>
      </c>
    </row>
    <row r="98" spans="1:4" x14ac:dyDescent="0.25">
      <c r="A98" t="str">
        <f>T("   CH")</f>
        <v xml:space="preserve">   CH</v>
      </c>
      <c r="B98" t="str">
        <f>T("   Suisse")</f>
        <v xml:space="preserve">   Suisse</v>
      </c>
      <c r="C98">
        <v>312500</v>
      </c>
      <c r="D98">
        <v>625</v>
      </c>
    </row>
    <row r="99" spans="1:4" x14ac:dyDescent="0.25">
      <c r="A99" t="str">
        <f>T("   FR")</f>
        <v xml:space="preserve">   FR</v>
      </c>
      <c r="B99" t="str">
        <f>T("   France")</f>
        <v xml:space="preserve">   France</v>
      </c>
      <c r="C99">
        <v>70964008</v>
      </c>
      <c r="D99">
        <v>1032288</v>
      </c>
    </row>
    <row r="100" spans="1:4" x14ac:dyDescent="0.25">
      <c r="A100" t="str">
        <f>T("080810")</f>
        <v>080810</v>
      </c>
      <c r="B100" t="str">
        <f>T("Pommes, fraîches")</f>
        <v>Pommes, fraîches</v>
      </c>
    </row>
    <row r="101" spans="1:4" x14ac:dyDescent="0.25">
      <c r="A101" t="str">
        <f>T("   ZZZ_Monde")</f>
        <v xml:space="preserve">   ZZZ_Monde</v>
      </c>
      <c r="B101" t="str">
        <f>T("   ZZZ_Monde")</f>
        <v xml:space="preserve">   ZZZ_Monde</v>
      </c>
      <c r="C101">
        <v>10720000</v>
      </c>
      <c r="D101">
        <v>24320</v>
      </c>
    </row>
    <row r="102" spans="1:4" x14ac:dyDescent="0.25">
      <c r="A102" t="str">
        <f>T("   NG")</f>
        <v xml:space="preserve">   NG</v>
      </c>
      <c r="B102" t="str">
        <f>T("   Nigéria")</f>
        <v xml:space="preserve">   Nigéria</v>
      </c>
      <c r="C102">
        <v>10720000</v>
      </c>
      <c r="D102">
        <v>24320</v>
      </c>
    </row>
    <row r="103" spans="1:4" x14ac:dyDescent="0.25">
      <c r="A103" t="str">
        <f>T("090420")</f>
        <v>090420</v>
      </c>
      <c r="B103" t="str">
        <f>T("Piments du genre 'Capsicum' ou du genre 'Pimenta', séchés ou broyés ou pulvérisés")</f>
        <v>Piments du genre 'Capsicum' ou du genre 'Pimenta', séchés ou broyés ou pulvérisés</v>
      </c>
    </row>
    <row r="104" spans="1:4" x14ac:dyDescent="0.25">
      <c r="A104" t="str">
        <f>T("   ZZZ_Monde")</f>
        <v xml:space="preserve">   ZZZ_Monde</v>
      </c>
      <c r="B104" t="str">
        <f>T("   ZZZ_Monde")</f>
        <v xml:space="preserve">   ZZZ_Monde</v>
      </c>
      <c r="C104">
        <v>23556000</v>
      </c>
      <c r="D104">
        <v>26010</v>
      </c>
    </row>
    <row r="105" spans="1:4" x14ac:dyDescent="0.25">
      <c r="A105" t="str">
        <f>T("   SN")</f>
        <v xml:space="preserve">   SN</v>
      </c>
      <c r="B105" t="str">
        <f>T("   Sénégal")</f>
        <v xml:space="preserve">   Sénégal</v>
      </c>
      <c r="C105">
        <v>23556000</v>
      </c>
      <c r="D105">
        <v>26010</v>
      </c>
    </row>
    <row r="106" spans="1:4" x14ac:dyDescent="0.25">
      <c r="A106" t="str">
        <f>T("091010")</f>
        <v>091010</v>
      </c>
      <c r="B106" t="str">
        <f>T("Gingembre")</f>
        <v>Gingembre</v>
      </c>
    </row>
    <row r="107" spans="1:4" x14ac:dyDescent="0.25">
      <c r="A107" t="str">
        <f>T("   ZZZ_Monde")</f>
        <v xml:space="preserve">   ZZZ_Monde</v>
      </c>
      <c r="B107" t="str">
        <f>T("   ZZZ_Monde")</f>
        <v xml:space="preserve">   ZZZ_Monde</v>
      </c>
      <c r="C107">
        <v>49275000</v>
      </c>
      <c r="D107">
        <v>290775</v>
      </c>
    </row>
    <row r="108" spans="1:4" x14ac:dyDescent="0.25">
      <c r="A108" t="str">
        <f>T("   IN")</f>
        <v xml:space="preserve">   IN</v>
      </c>
      <c r="B108" t="str">
        <f>T("   Inde")</f>
        <v xml:space="preserve">   Inde</v>
      </c>
      <c r="C108">
        <v>15245400</v>
      </c>
      <c r="D108">
        <v>76227</v>
      </c>
    </row>
    <row r="109" spans="1:4" x14ac:dyDescent="0.25">
      <c r="A109" t="str">
        <f>T("   MA")</f>
        <v xml:space="preserve">   MA</v>
      </c>
      <c r="B109" t="str">
        <f>T("   Maroc")</f>
        <v xml:space="preserve">   Maroc</v>
      </c>
      <c r="C109">
        <v>22068000</v>
      </c>
      <c r="D109">
        <v>138240</v>
      </c>
    </row>
    <row r="110" spans="1:4" x14ac:dyDescent="0.25">
      <c r="A110" t="str">
        <f>T("   VN")</f>
        <v xml:space="preserve">   VN</v>
      </c>
      <c r="B110" t="str">
        <f>T("   Vietnam")</f>
        <v xml:space="preserve">   Vietnam</v>
      </c>
      <c r="C110">
        <v>3300000</v>
      </c>
      <c r="D110">
        <v>33000</v>
      </c>
    </row>
    <row r="111" spans="1:4" x14ac:dyDescent="0.25">
      <c r="A111" t="str">
        <f>T("   ZA")</f>
        <v xml:space="preserve">   ZA</v>
      </c>
      <c r="B111" t="str">
        <f>T("   Afrique du Sud")</f>
        <v xml:space="preserve">   Afrique du Sud</v>
      </c>
      <c r="C111">
        <v>8661600</v>
      </c>
      <c r="D111">
        <v>43308</v>
      </c>
    </row>
    <row r="112" spans="1:4" x14ac:dyDescent="0.25">
      <c r="A112" t="str">
        <f>T("100110")</f>
        <v>100110</v>
      </c>
      <c r="B112" t="str">
        <f>T("Froment [blé] dur")</f>
        <v>Froment [blé] dur</v>
      </c>
    </row>
    <row r="113" spans="1:4" x14ac:dyDescent="0.25">
      <c r="A113" t="str">
        <f>T("   ZZZ_Monde")</f>
        <v xml:space="preserve">   ZZZ_Monde</v>
      </c>
      <c r="B113" t="str">
        <f>T("   ZZZ_Monde")</f>
        <v xml:space="preserve">   ZZZ_Monde</v>
      </c>
      <c r="C113">
        <v>1030572397</v>
      </c>
      <c r="D113">
        <v>4755940</v>
      </c>
    </row>
    <row r="114" spans="1:4" x14ac:dyDescent="0.25">
      <c r="A114" t="str">
        <f>T("   BF")</f>
        <v xml:space="preserve">   BF</v>
      </c>
      <c r="B114" t="str">
        <f>T("   Burkina Faso")</f>
        <v xml:space="preserve">   Burkina Faso</v>
      </c>
      <c r="C114">
        <v>528334980</v>
      </c>
      <c r="D114">
        <v>2461450</v>
      </c>
    </row>
    <row r="115" spans="1:4" x14ac:dyDescent="0.25">
      <c r="A115" t="str">
        <f>T("   IN")</f>
        <v xml:space="preserve">   IN</v>
      </c>
      <c r="B115" t="str">
        <f>T("   Inde")</f>
        <v xml:space="preserve">   Inde</v>
      </c>
      <c r="C115">
        <v>62619909</v>
      </c>
      <c r="D115">
        <v>208890</v>
      </c>
    </row>
    <row r="116" spans="1:4" x14ac:dyDescent="0.25">
      <c r="A116" t="str">
        <f>T("   NE")</f>
        <v xml:space="preserve">   NE</v>
      </c>
      <c r="B116" t="str">
        <f>T("   Niger")</f>
        <v xml:space="preserve">   Niger</v>
      </c>
      <c r="C116">
        <v>439617508</v>
      </c>
      <c r="D116">
        <v>2085600</v>
      </c>
    </row>
    <row r="117" spans="1:4" x14ac:dyDescent="0.25">
      <c r="A117" t="str">
        <f>T("100190")</f>
        <v>100190</v>
      </c>
      <c r="B117" t="str">
        <f>T("Froment [blé] et méteil (à l'excl. du froment [blé] dur)")</f>
        <v>Froment [blé] et méteil (à l'excl. du froment [blé] dur)</v>
      </c>
    </row>
    <row r="118" spans="1:4" x14ac:dyDescent="0.25">
      <c r="A118" t="str">
        <f>T("   ZZZ_Monde")</f>
        <v xml:space="preserve">   ZZZ_Monde</v>
      </c>
      <c r="B118" t="str">
        <f>T("   ZZZ_Monde")</f>
        <v xml:space="preserve">   ZZZ_Monde</v>
      </c>
      <c r="C118">
        <v>176643211</v>
      </c>
      <c r="D118">
        <v>788540</v>
      </c>
    </row>
    <row r="119" spans="1:4" x14ac:dyDescent="0.25">
      <c r="A119" t="str">
        <f>T("   NE")</f>
        <v xml:space="preserve">   NE</v>
      </c>
      <c r="B119" t="str">
        <f>T("   Niger")</f>
        <v xml:space="preserve">   Niger</v>
      </c>
      <c r="C119">
        <v>176643211</v>
      </c>
      <c r="D119">
        <v>788540</v>
      </c>
    </row>
    <row r="120" spans="1:4" x14ac:dyDescent="0.25">
      <c r="A120" t="str">
        <f>T("100590")</f>
        <v>100590</v>
      </c>
      <c r="B120" t="str">
        <f>T("Maïs (autre que de semence)")</f>
        <v>Maïs (autre que de semence)</v>
      </c>
    </row>
    <row r="121" spans="1:4" x14ac:dyDescent="0.25">
      <c r="A121" t="str">
        <f>T("   ZZZ_Monde")</f>
        <v xml:space="preserve">   ZZZ_Monde</v>
      </c>
      <c r="B121" t="str">
        <f>T("   ZZZ_Monde")</f>
        <v xml:space="preserve">   ZZZ_Monde</v>
      </c>
      <c r="C121">
        <v>1222388225</v>
      </c>
      <c r="D121">
        <v>6036850</v>
      </c>
    </row>
    <row r="122" spans="1:4" x14ac:dyDescent="0.25">
      <c r="A122" t="str">
        <f>T("   GA")</f>
        <v xml:space="preserve">   GA</v>
      </c>
      <c r="B122" t="str">
        <f>T("   Gabon")</f>
        <v xml:space="preserve">   Gabon</v>
      </c>
      <c r="C122">
        <v>969000</v>
      </c>
      <c r="D122">
        <v>5100</v>
      </c>
    </row>
    <row r="123" spans="1:4" x14ac:dyDescent="0.25">
      <c r="A123" t="str">
        <f>T("   NE")</f>
        <v xml:space="preserve">   NE</v>
      </c>
      <c r="B123" t="str">
        <f>T("   Niger")</f>
        <v xml:space="preserve">   Niger</v>
      </c>
      <c r="C123">
        <v>1221419225</v>
      </c>
      <c r="D123">
        <v>6031750</v>
      </c>
    </row>
    <row r="124" spans="1:4" x14ac:dyDescent="0.25">
      <c r="A124" t="str">
        <f>T("100630")</f>
        <v>100630</v>
      </c>
      <c r="B124" t="str">
        <f>T("Riz semi-blanchi ou blanchi, même poli ou glacé")</f>
        <v>Riz semi-blanchi ou blanchi, même poli ou glacé</v>
      </c>
    </row>
    <row r="125" spans="1:4" x14ac:dyDescent="0.25">
      <c r="A125" t="str">
        <f>T("   ZZZ_Monde")</f>
        <v xml:space="preserve">   ZZZ_Monde</v>
      </c>
      <c r="B125" t="str">
        <f>T("   ZZZ_Monde")</f>
        <v xml:space="preserve">   ZZZ_Monde</v>
      </c>
      <c r="C125">
        <v>1396551900</v>
      </c>
      <c r="D125">
        <v>26899128</v>
      </c>
    </row>
    <row r="126" spans="1:4" x14ac:dyDescent="0.25">
      <c r="A126" t="str">
        <f>T("   NE")</f>
        <v xml:space="preserve">   NE</v>
      </c>
      <c r="B126" t="str">
        <f>T("   Niger")</f>
        <v xml:space="preserve">   Niger</v>
      </c>
      <c r="C126">
        <v>25000000</v>
      </c>
      <c r="D126">
        <v>500000</v>
      </c>
    </row>
    <row r="127" spans="1:4" x14ac:dyDescent="0.25">
      <c r="A127" t="str">
        <f>T("   NG")</f>
        <v xml:space="preserve">   NG</v>
      </c>
      <c r="B127" t="str">
        <f>T("   Nigéria")</f>
        <v xml:space="preserve">   Nigéria</v>
      </c>
      <c r="C127">
        <v>1371551900</v>
      </c>
      <c r="D127">
        <v>26399128</v>
      </c>
    </row>
    <row r="128" spans="1:4" x14ac:dyDescent="0.25">
      <c r="A128" t="str">
        <f>T("100640")</f>
        <v>100640</v>
      </c>
      <c r="B128" t="str">
        <f>T("Riz en brisures")</f>
        <v>Riz en brisures</v>
      </c>
    </row>
    <row r="129" spans="1:4" x14ac:dyDescent="0.25">
      <c r="A129" t="str">
        <f>T("   ZZZ_Monde")</f>
        <v xml:space="preserve">   ZZZ_Monde</v>
      </c>
      <c r="B129" t="str">
        <f>T("   ZZZ_Monde")</f>
        <v xml:space="preserve">   ZZZ_Monde</v>
      </c>
      <c r="C129">
        <v>211501445</v>
      </c>
      <c r="D129">
        <v>4230000</v>
      </c>
    </row>
    <row r="130" spans="1:4" x14ac:dyDescent="0.25">
      <c r="A130" t="str">
        <f>T("   NE")</f>
        <v xml:space="preserve">   NE</v>
      </c>
      <c r="B130" t="str">
        <f>T("   Niger")</f>
        <v xml:space="preserve">   Niger</v>
      </c>
      <c r="C130">
        <v>211501445</v>
      </c>
      <c r="D130">
        <v>4230000</v>
      </c>
    </row>
    <row r="131" spans="1:4" x14ac:dyDescent="0.25">
      <c r="A131" t="str">
        <f>T("100890")</f>
        <v>100890</v>
      </c>
      <c r="B131" t="str">
        <f>T("Céréales (à l'excl. du froment [blé], du méteil, du seigle, de l'orge, de l'avoine, du maïs, du riz, du sorgho à grains, du sarrasin, du millet et de l'alpiste)")</f>
        <v>Céréales (à l'excl. du froment [blé], du méteil, du seigle, de l'orge, de l'avoine, du maïs, du riz, du sorgho à grains, du sarrasin, du millet et de l'alpiste)</v>
      </c>
    </row>
    <row r="132" spans="1:4" x14ac:dyDescent="0.25">
      <c r="A132" t="str">
        <f>T("   ZZZ_Monde")</f>
        <v xml:space="preserve">   ZZZ_Monde</v>
      </c>
      <c r="B132" t="str">
        <f>T("   ZZZ_Monde")</f>
        <v xml:space="preserve">   ZZZ_Monde</v>
      </c>
      <c r="C132">
        <v>5400000</v>
      </c>
      <c r="D132">
        <v>30000</v>
      </c>
    </row>
    <row r="133" spans="1:4" x14ac:dyDescent="0.25">
      <c r="A133" t="str">
        <f>T("   GA")</f>
        <v xml:space="preserve">   GA</v>
      </c>
      <c r="B133" t="str">
        <f>T("   Gabon")</f>
        <v xml:space="preserve">   Gabon</v>
      </c>
      <c r="C133">
        <v>5400000</v>
      </c>
      <c r="D133">
        <v>30000</v>
      </c>
    </row>
    <row r="134" spans="1:4" x14ac:dyDescent="0.25">
      <c r="A134" t="str">
        <f>T("110100")</f>
        <v>110100</v>
      </c>
      <c r="B134" t="str">
        <f>T("Farines de froment [blé] ou de méteil")</f>
        <v>Farines de froment [blé] ou de méteil</v>
      </c>
    </row>
    <row r="135" spans="1:4" x14ac:dyDescent="0.25">
      <c r="A135" t="str">
        <f>T("   ZZZ_Monde")</f>
        <v xml:space="preserve">   ZZZ_Monde</v>
      </c>
      <c r="B135" t="str">
        <f>T("   ZZZ_Monde")</f>
        <v xml:space="preserve">   ZZZ_Monde</v>
      </c>
      <c r="C135">
        <v>794525458</v>
      </c>
      <c r="D135">
        <v>3905990</v>
      </c>
    </row>
    <row r="136" spans="1:4" x14ac:dyDescent="0.25">
      <c r="A136" t="str">
        <f>T("   BF")</f>
        <v xml:space="preserve">   BF</v>
      </c>
      <c r="B136" t="str">
        <f>T("   Burkina Faso")</f>
        <v xml:space="preserve">   Burkina Faso</v>
      </c>
      <c r="C136">
        <v>528334980</v>
      </c>
      <c r="D136">
        <v>2461450</v>
      </c>
    </row>
    <row r="137" spans="1:4" x14ac:dyDescent="0.25">
      <c r="A137" t="str">
        <f>T("   NE")</f>
        <v xml:space="preserve">   NE</v>
      </c>
      <c r="B137" t="str">
        <f>T("   Niger")</f>
        <v xml:space="preserve">   Niger</v>
      </c>
      <c r="C137">
        <v>230112678</v>
      </c>
      <c r="D137">
        <v>1198800</v>
      </c>
    </row>
    <row r="138" spans="1:4" x14ac:dyDescent="0.25">
      <c r="A138" t="str">
        <f>T("   TR")</f>
        <v xml:space="preserve">   TR</v>
      </c>
      <c r="B138" t="str">
        <f>T("   Turquie")</f>
        <v xml:space="preserve">   Turquie</v>
      </c>
      <c r="C138">
        <v>36077800</v>
      </c>
      <c r="D138">
        <v>245740</v>
      </c>
    </row>
    <row r="139" spans="1:4" x14ac:dyDescent="0.25">
      <c r="A139" t="str">
        <f>T("110220")</f>
        <v>110220</v>
      </c>
      <c r="B139" t="str">
        <f>T("Farine de maïs")</f>
        <v>Farine de maïs</v>
      </c>
    </row>
    <row r="140" spans="1:4" x14ac:dyDescent="0.25">
      <c r="A140" t="str">
        <f>T("   ZZZ_Monde")</f>
        <v xml:space="preserve">   ZZZ_Monde</v>
      </c>
      <c r="B140" t="str">
        <f>T("   ZZZ_Monde")</f>
        <v xml:space="preserve">   ZZZ_Monde</v>
      </c>
      <c r="C140">
        <v>3500000</v>
      </c>
      <c r="D140">
        <v>15000</v>
      </c>
    </row>
    <row r="141" spans="1:4" x14ac:dyDescent="0.25">
      <c r="A141" t="str">
        <f>T("   FR")</f>
        <v xml:space="preserve">   FR</v>
      </c>
      <c r="B141" t="str">
        <f>T("   France")</f>
        <v xml:space="preserve">   France</v>
      </c>
      <c r="C141">
        <v>3500000</v>
      </c>
      <c r="D141">
        <v>15000</v>
      </c>
    </row>
    <row r="142" spans="1:4" x14ac:dyDescent="0.25">
      <c r="A142" t="str">
        <f>T("110290")</f>
        <v>110290</v>
      </c>
      <c r="B142" t="str">
        <f>T("FARINES DE CÉRÉALES (À L'EXCL. DES FARINES DE FROMENT [BLÉ], DE MÉTEIL, DE SEIGLE ET DE MAÏS)")</f>
        <v>FARINES DE CÉRÉALES (À L'EXCL. DES FARINES DE FROMENT [BLÉ], DE MÉTEIL, DE SEIGLE ET DE MAÏS)</v>
      </c>
    </row>
    <row r="143" spans="1:4" x14ac:dyDescent="0.25">
      <c r="A143" t="str">
        <f>T("   ZZZ_Monde")</f>
        <v xml:space="preserve">   ZZZ_Monde</v>
      </c>
      <c r="B143" t="str">
        <f>T("   ZZZ_Monde")</f>
        <v xml:space="preserve">   ZZZ_Monde</v>
      </c>
      <c r="C143">
        <v>35840</v>
      </c>
      <c r="D143">
        <v>450</v>
      </c>
    </row>
    <row r="144" spans="1:4" x14ac:dyDescent="0.25">
      <c r="A144" t="str">
        <f>T("   IT")</f>
        <v xml:space="preserve">   IT</v>
      </c>
      <c r="B144" t="str">
        <f>T("   Italie")</f>
        <v xml:space="preserve">   Italie</v>
      </c>
      <c r="C144">
        <v>35840</v>
      </c>
      <c r="D144">
        <v>450</v>
      </c>
    </row>
    <row r="145" spans="1:4" x14ac:dyDescent="0.25">
      <c r="A145" t="str">
        <f>T("110311")</f>
        <v>110311</v>
      </c>
      <c r="B145" t="str">
        <f>T("Gruaux et semoules de froment [blé]")</f>
        <v>Gruaux et semoules de froment [blé]</v>
      </c>
    </row>
    <row r="146" spans="1:4" x14ac:dyDescent="0.25">
      <c r="A146" t="str">
        <f>T("   ZZZ_Monde")</f>
        <v xml:space="preserve">   ZZZ_Monde</v>
      </c>
      <c r="B146" t="str">
        <f>T("   ZZZ_Monde")</f>
        <v xml:space="preserve">   ZZZ_Monde</v>
      </c>
      <c r="C146">
        <v>819415947</v>
      </c>
      <c r="D146">
        <v>2386086</v>
      </c>
    </row>
    <row r="147" spans="1:4" x14ac:dyDescent="0.25">
      <c r="A147" t="str">
        <f>T("   GA")</f>
        <v xml:space="preserve">   GA</v>
      </c>
      <c r="B147" t="str">
        <f>T("   Gabon")</f>
        <v xml:space="preserve">   Gabon</v>
      </c>
      <c r="C147">
        <v>21155351</v>
      </c>
      <c r="D147">
        <v>65910</v>
      </c>
    </row>
    <row r="148" spans="1:4" x14ac:dyDescent="0.25">
      <c r="A148" t="str">
        <f>T("   LR")</f>
        <v xml:space="preserve">   LR</v>
      </c>
      <c r="B148" t="str">
        <f>T("   Libéria")</f>
        <v xml:space="preserve">   Libéria</v>
      </c>
      <c r="C148">
        <v>1705597</v>
      </c>
      <c r="D148">
        <v>6000</v>
      </c>
    </row>
    <row r="149" spans="1:4" x14ac:dyDescent="0.25">
      <c r="A149" t="str">
        <f>T("   NE")</f>
        <v xml:space="preserve">   NE</v>
      </c>
      <c r="B149" t="str">
        <f>T("   Niger")</f>
        <v xml:space="preserve">   Niger</v>
      </c>
      <c r="C149">
        <v>193963262</v>
      </c>
      <c r="D149">
        <v>423449</v>
      </c>
    </row>
    <row r="150" spans="1:4" x14ac:dyDescent="0.25">
      <c r="A150" t="str">
        <f>T("   NG")</f>
        <v xml:space="preserve">   NG</v>
      </c>
      <c r="B150" t="str">
        <f>T("   Nigéria")</f>
        <v xml:space="preserve">   Nigéria</v>
      </c>
      <c r="C150">
        <v>581996826</v>
      </c>
      <c r="D150">
        <v>1829267</v>
      </c>
    </row>
    <row r="151" spans="1:4" x14ac:dyDescent="0.25">
      <c r="A151" t="str">
        <f>T("   TG")</f>
        <v xml:space="preserve">   TG</v>
      </c>
      <c r="B151" t="str">
        <f>T("   Togo")</f>
        <v xml:space="preserve">   Togo</v>
      </c>
      <c r="C151">
        <v>20594911</v>
      </c>
      <c r="D151">
        <v>61460</v>
      </c>
    </row>
    <row r="152" spans="1:4" x14ac:dyDescent="0.25">
      <c r="A152" t="str">
        <f>T("110423")</f>
        <v>110423</v>
      </c>
      <c r="B152" t="str">
        <f>T("Grains de maïs, mondés, perlés, tranchés, concassés ou autrement travaillés (à l'excl. de la farine de maïs)")</f>
        <v>Grains de maïs, mondés, perlés, tranchés, concassés ou autrement travaillés (à l'excl. de la farine de maïs)</v>
      </c>
    </row>
    <row r="153" spans="1:4" x14ac:dyDescent="0.25">
      <c r="A153" t="str">
        <f>T("   ZZZ_Monde")</f>
        <v xml:space="preserve">   ZZZ_Monde</v>
      </c>
      <c r="B153" t="str">
        <f>T("   ZZZ_Monde")</f>
        <v xml:space="preserve">   ZZZ_Monde</v>
      </c>
      <c r="C153">
        <v>96020000</v>
      </c>
      <c r="D153">
        <v>280000</v>
      </c>
    </row>
    <row r="154" spans="1:4" x14ac:dyDescent="0.25">
      <c r="A154" t="str">
        <f>T("   NE")</f>
        <v xml:space="preserve">   NE</v>
      </c>
      <c r="B154" t="str">
        <f>T("   Niger")</f>
        <v xml:space="preserve">   Niger</v>
      </c>
      <c r="C154">
        <v>96020000</v>
      </c>
      <c r="D154">
        <v>280000</v>
      </c>
    </row>
    <row r="155" spans="1:4" x14ac:dyDescent="0.25">
      <c r="A155" t="str">
        <f>T("110620")</f>
        <v>110620</v>
      </c>
      <c r="B155" t="str">
        <f>T("Farines, semoules et poudres de sagou ou des racines ou tubercules du n° 0714")</f>
        <v>Farines, semoules et poudres de sagou ou des racines ou tubercules du n° 0714</v>
      </c>
    </row>
    <row r="156" spans="1:4" x14ac:dyDescent="0.25">
      <c r="A156" t="str">
        <f>T("   ZZZ_Monde")</f>
        <v xml:space="preserve">   ZZZ_Monde</v>
      </c>
      <c r="B156" t="str">
        <f>T("   ZZZ_Monde")</f>
        <v xml:space="preserve">   ZZZ_Monde</v>
      </c>
      <c r="C156">
        <v>76328218</v>
      </c>
      <c r="D156">
        <v>339979</v>
      </c>
    </row>
    <row r="157" spans="1:4" x14ac:dyDescent="0.25">
      <c r="A157" t="str">
        <f>T("   CD")</f>
        <v xml:space="preserve">   CD</v>
      </c>
      <c r="B157" t="str">
        <f>T("   Congo, République Démocratique")</f>
        <v xml:space="preserve">   Congo, République Démocratique</v>
      </c>
      <c r="C157">
        <v>2885000</v>
      </c>
      <c r="D157">
        <v>30580</v>
      </c>
    </row>
    <row r="158" spans="1:4" x14ac:dyDescent="0.25">
      <c r="A158" t="str">
        <f>T("   CG")</f>
        <v xml:space="preserve">   CG</v>
      </c>
      <c r="B158" t="str">
        <f>T("   Congo (Brazzaville)")</f>
        <v xml:space="preserve">   Congo (Brazzaville)</v>
      </c>
      <c r="C158">
        <v>11377500</v>
      </c>
      <c r="D158">
        <v>58800</v>
      </c>
    </row>
    <row r="159" spans="1:4" x14ac:dyDescent="0.25">
      <c r="A159" t="str">
        <f>T("   FR")</f>
        <v xml:space="preserve">   FR</v>
      </c>
      <c r="B159" t="str">
        <f>T("   France")</f>
        <v xml:space="preserve">   France</v>
      </c>
      <c r="C159">
        <v>24470542</v>
      </c>
      <c r="D159">
        <v>68500</v>
      </c>
    </row>
    <row r="160" spans="1:4" x14ac:dyDescent="0.25">
      <c r="A160" t="str">
        <f>T("   GA")</f>
        <v xml:space="preserve">   GA</v>
      </c>
      <c r="B160" t="str">
        <f>T("   Gabon")</f>
        <v xml:space="preserve">   Gabon</v>
      </c>
      <c r="C160">
        <v>32177000</v>
      </c>
      <c r="D160">
        <v>166019</v>
      </c>
    </row>
    <row r="161" spans="1:4" x14ac:dyDescent="0.25">
      <c r="A161" t="str">
        <f>T("   GQ")</f>
        <v xml:space="preserve">   GQ</v>
      </c>
      <c r="B161" t="str">
        <f>T("   Guinée Equatoriale")</f>
        <v xml:space="preserve">   Guinée Equatoriale</v>
      </c>
      <c r="C161">
        <v>1518176</v>
      </c>
      <c r="D161">
        <v>3080</v>
      </c>
    </row>
    <row r="162" spans="1:4" x14ac:dyDescent="0.25">
      <c r="A162" t="str">
        <f>T("   SN")</f>
        <v xml:space="preserve">   SN</v>
      </c>
      <c r="B162" t="str">
        <f>T("   Sénégal")</f>
        <v xml:space="preserve">   Sénégal</v>
      </c>
      <c r="C162">
        <v>3900000</v>
      </c>
      <c r="D162">
        <v>13000</v>
      </c>
    </row>
    <row r="163" spans="1:4" x14ac:dyDescent="0.25">
      <c r="A163" t="str">
        <f>T("120100")</f>
        <v>120100</v>
      </c>
      <c r="B163" t="str">
        <f>T("Fèves de soja, même concassées")</f>
        <v>Fèves de soja, même concassées</v>
      </c>
    </row>
    <row r="164" spans="1:4" x14ac:dyDescent="0.25">
      <c r="A164" t="str">
        <f>T("   ZZZ_Monde")</f>
        <v xml:space="preserve">   ZZZ_Monde</v>
      </c>
      <c r="B164" t="str">
        <f>T("   ZZZ_Monde")</f>
        <v xml:space="preserve">   ZZZ_Monde</v>
      </c>
      <c r="C164">
        <v>345132400</v>
      </c>
      <c r="D164">
        <v>1725662</v>
      </c>
    </row>
    <row r="165" spans="1:4" x14ac:dyDescent="0.25">
      <c r="A165" t="str">
        <f>T("   IN")</f>
        <v xml:space="preserve">   IN</v>
      </c>
      <c r="B165" t="str">
        <f>T("   Inde")</f>
        <v xml:space="preserve">   Inde</v>
      </c>
      <c r="C165">
        <v>98800000</v>
      </c>
      <c r="D165">
        <v>494000</v>
      </c>
    </row>
    <row r="166" spans="1:4" x14ac:dyDescent="0.25">
      <c r="A166" t="str">
        <f>T("   ZA")</f>
        <v xml:space="preserve">   ZA</v>
      </c>
      <c r="B166" t="str">
        <f>T("   Afrique du Sud")</f>
        <v xml:space="preserve">   Afrique du Sud</v>
      </c>
      <c r="C166">
        <v>246332400</v>
      </c>
      <c r="D166">
        <v>1231662</v>
      </c>
    </row>
    <row r="167" spans="1:4" x14ac:dyDescent="0.25">
      <c r="A167" t="str">
        <f>T("120210")</f>
        <v>120210</v>
      </c>
      <c r="B167" t="str">
        <f>T("ARACHIDES, EN COQUES, NON-GRILLÉES NI AUTREMENT CUITES")</f>
        <v>ARACHIDES, EN COQUES, NON-GRILLÉES NI AUTREMENT CUITES</v>
      </c>
    </row>
    <row r="168" spans="1:4" x14ac:dyDescent="0.25">
      <c r="A168" t="str">
        <f>T("   ZZZ_Monde")</f>
        <v xml:space="preserve">   ZZZ_Monde</v>
      </c>
      <c r="B168" t="str">
        <f>T("   ZZZ_Monde")</f>
        <v xml:space="preserve">   ZZZ_Monde</v>
      </c>
      <c r="C168">
        <v>3233000</v>
      </c>
      <c r="D168">
        <v>10000</v>
      </c>
    </row>
    <row r="169" spans="1:4" x14ac:dyDescent="0.25">
      <c r="A169" t="str">
        <f>T("   FR")</f>
        <v xml:space="preserve">   FR</v>
      </c>
      <c r="B169" t="str">
        <f>T("   France")</f>
        <v xml:space="preserve">   France</v>
      </c>
      <c r="C169">
        <v>3233000</v>
      </c>
      <c r="D169">
        <v>10000</v>
      </c>
    </row>
    <row r="170" spans="1:4" x14ac:dyDescent="0.25">
      <c r="A170" t="str">
        <f>T("120220")</f>
        <v>120220</v>
      </c>
      <c r="B170" t="str">
        <f>T("Arachides, décortiquées, même concassées, non grillées ni autrement cuites")</f>
        <v>Arachides, décortiquées, même concassées, non grillées ni autrement cuites</v>
      </c>
    </row>
    <row r="171" spans="1:4" x14ac:dyDescent="0.25">
      <c r="A171" t="str">
        <f>T("   ZZZ_Monde")</f>
        <v xml:space="preserve">   ZZZ_Monde</v>
      </c>
      <c r="B171" t="str">
        <f>T("   ZZZ_Monde")</f>
        <v xml:space="preserve">   ZZZ_Monde</v>
      </c>
      <c r="C171">
        <v>22000000</v>
      </c>
      <c r="D171">
        <v>217000</v>
      </c>
    </row>
    <row r="172" spans="1:4" x14ac:dyDescent="0.25">
      <c r="A172" t="str">
        <f>T("   VN")</f>
        <v xml:space="preserve">   VN</v>
      </c>
      <c r="B172" t="str">
        <f>T("   Vietnam")</f>
        <v xml:space="preserve">   Vietnam</v>
      </c>
      <c r="C172">
        <v>22000000</v>
      </c>
      <c r="D172">
        <v>217000</v>
      </c>
    </row>
    <row r="173" spans="1:4" x14ac:dyDescent="0.25">
      <c r="A173" t="str">
        <f>T("120710")</f>
        <v>120710</v>
      </c>
      <c r="B173" t="str">
        <f>T("NOIX ET AMANDES DE PALMISTES")</f>
        <v>NOIX ET AMANDES DE PALMISTES</v>
      </c>
    </row>
    <row r="174" spans="1:4" x14ac:dyDescent="0.25">
      <c r="A174" t="str">
        <f>T("   ZZZ_Monde")</f>
        <v xml:space="preserve">   ZZZ_Monde</v>
      </c>
      <c r="B174" t="str">
        <f>T("   ZZZ_Monde")</f>
        <v xml:space="preserve">   ZZZ_Monde</v>
      </c>
      <c r="C174">
        <v>123975873</v>
      </c>
      <c r="D174">
        <v>2658</v>
      </c>
    </row>
    <row r="175" spans="1:4" x14ac:dyDescent="0.25">
      <c r="A175" t="str">
        <f>T("   IN")</f>
        <v xml:space="preserve">   IN</v>
      </c>
      <c r="B175" t="str">
        <f>T("   Inde")</f>
        <v xml:space="preserve">   Inde</v>
      </c>
      <c r="C175">
        <v>29518065</v>
      </c>
      <c r="D175">
        <v>606</v>
      </c>
    </row>
    <row r="176" spans="1:4" x14ac:dyDescent="0.25">
      <c r="A176" t="str">
        <f>T("   TH")</f>
        <v xml:space="preserve">   TH</v>
      </c>
      <c r="B176" t="str">
        <f>T("   Thaïlande")</f>
        <v xml:space="preserve">   Thaïlande</v>
      </c>
      <c r="C176">
        <v>94457808</v>
      </c>
      <c r="D176">
        <v>2052</v>
      </c>
    </row>
    <row r="177" spans="1:4" x14ac:dyDescent="0.25">
      <c r="A177" t="str">
        <f>T("120720")</f>
        <v>120720</v>
      </c>
      <c r="B177" t="str">
        <f>T("Graines de coton, même concassées")</f>
        <v>Graines de coton, même concassées</v>
      </c>
    </row>
    <row r="178" spans="1:4" x14ac:dyDescent="0.25">
      <c r="A178" t="str">
        <f>T("   ZZZ_Monde")</f>
        <v xml:space="preserve">   ZZZ_Monde</v>
      </c>
      <c r="B178" t="str">
        <f>T("   ZZZ_Monde")</f>
        <v xml:space="preserve">   ZZZ_Monde</v>
      </c>
      <c r="C178">
        <v>40029120</v>
      </c>
      <c r="D178">
        <v>827</v>
      </c>
    </row>
    <row r="179" spans="1:4" x14ac:dyDescent="0.25">
      <c r="A179" t="str">
        <f>T("   FR")</f>
        <v xml:space="preserve">   FR</v>
      </c>
      <c r="B179" t="str">
        <f>T("   France")</f>
        <v xml:space="preserve">   France</v>
      </c>
      <c r="C179">
        <v>15743</v>
      </c>
      <c r="D179">
        <v>455</v>
      </c>
    </row>
    <row r="180" spans="1:4" x14ac:dyDescent="0.25">
      <c r="A180" t="str">
        <f>T("   GH")</f>
        <v xml:space="preserve">   GH</v>
      </c>
      <c r="B180" t="str">
        <f>T("   Ghana")</f>
        <v xml:space="preserve">   Ghana</v>
      </c>
      <c r="C180">
        <v>40013377</v>
      </c>
      <c r="D180">
        <v>372</v>
      </c>
    </row>
    <row r="181" spans="1:4" x14ac:dyDescent="0.25">
      <c r="A181" t="str">
        <f>T("120740")</f>
        <v>120740</v>
      </c>
      <c r="B181" t="str">
        <f>T("Graines de sésame, même concassées")</f>
        <v>Graines de sésame, même concassées</v>
      </c>
    </row>
    <row r="182" spans="1:4" x14ac:dyDescent="0.25">
      <c r="A182" t="str">
        <f>T("   ZZZ_Monde")</f>
        <v xml:space="preserve">   ZZZ_Monde</v>
      </c>
      <c r="B182" t="str">
        <f>T("   ZZZ_Monde")</f>
        <v xml:space="preserve">   ZZZ_Monde</v>
      </c>
      <c r="C182">
        <v>222718600</v>
      </c>
      <c r="D182">
        <v>1101342</v>
      </c>
    </row>
    <row r="183" spans="1:4" x14ac:dyDescent="0.25">
      <c r="A183" t="str">
        <f>T("   CN")</f>
        <v xml:space="preserve">   CN</v>
      </c>
      <c r="B183" t="str">
        <f>T("   Chine")</f>
        <v xml:space="preserve">   Chine</v>
      </c>
      <c r="C183">
        <v>206218600</v>
      </c>
      <c r="D183">
        <v>1020342</v>
      </c>
    </row>
    <row r="184" spans="1:4" x14ac:dyDescent="0.25">
      <c r="A184" t="str">
        <f>T("   TR")</f>
        <v xml:space="preserve">   TR</v>
      </c>
      <c r="B184" t="str">
        <f>T("   Turquie")</f>
        <v xml:space="preserve">   Turquie</v>
      </c>
      <c r="C184">
        <v>16500000</v>
      </c>
      <c r="D184">
        <v>81000</v>
      </c>
    </row>
    <row r="185" spans="1:4" x14ac:dyDescent="0.25">
      <c r="A185" t="str">
        <f>T("120799")</f>
        <v>120799</v>
      </c>
      <c r="B185" t="str">
        <f>T("GRAINES ET FRUITS OLÉAGINEUX, MÊME CONCASSÉS (À L'EXCL. DES FRUITS À COQUE COMESTIBLES, DES OLIVES, DES FÈVES DE SOJA, DES ARACHIDES, DU COPRAH ET DES GRAINES DE LIN, DE NAVETTE, DE COLZA, DE TOURNESOL, DE COTON, DE SÉSAME, DE MOUTARDE, D'OEILLETTE OU DE")</f>
        <v>GRAINES ET FRUITS OLÉAGINEUX, MÊME CONCASSÉS (À L'EXCL. DES FRUITS À COQUE COMESTIBLES, DES OLIVES, DES FÈVES DE SOJA, DES ARACHIDES, DU COPRAH ET DES GRAINES DE LIN, DE NAVETTE, DE COLZA, DE TOURNESOL, DE COTON, DE SÉSAME, DE MOUTARDE, D'OEILLETTE OU DE</v>
      </c>
    </row>
    <row r="186" spans="1:4" x14ac:dyDescent="0.25">
      <c r="A186" t="str">
        <f>T("   ZZZ_Monde")</f>
        <v xml:space="preserve">   ZZZ_Monde</v>
      </c>
      <c r="B186" t="str">
        <f>T("   ZZZ_Monde")</f>
        <v xml:space="preserve">   ZZZ_Monde</v>
      </c>
      <c r="C186">
        <v>1831096673</v>
      </c>
      <c r="D186">
        <v>8725103</v>
      </c>
    </row>
    <row r="187" spans="1:4" x14ac:dyDescent="0.25">
      <c r="A187" t="str">
        <f>T("   CD")</f>
        <v xml:space="preserve">   CD</v>
      </c>
      <c r="B187" t="str">
        <f>T("   Congo, République Démocratique")</f>
        <v xml:space="preserve">   Congo, République Démocratique</v>
      </c>
      <c r="C187">
        <v>24008026</v>
      </c>
      <c r="D187">
        <v>280</v>
      </c>
    </row>
    <row r="188" spans="1:4" x14ac:dyDescent="0.25">
      <c r="A188" t="str">
        <f>T("   ES")</f>
        <v xml:space="preserve">   ES</v>
      </c>
      <c r="B188" t="str">
        <f>T("   Espagne")</f>
        <v xml:space="preserve">   Espagne</v>
      </c>
      <c r="C188">
        <v>261400000</v>
      </c>
      <c r="D188">
        <v>1240200</v>
      </c>
    </row>
    <row r="189" spans="1:4" x14ac:dyDescent="0.25">
      <c r="A189" t="str">
        <f>T("   GH")</f>
        <v xml:space="preserve">   GH</v>
      </c>
      <c r="B189" t="str">
        <f>T("   Ghana")</f>
        <v xml:space="preserve">   Ghana</v>
      </c>
      <c r="C189">
        <v>94458096</v>
      </c>
      <c r="D189">
        <v>1086</v>
      </c>
    </row>
    <row r="190" spans="1:4" x14ac:dyDescent="0.25">
      <c r="A190" t="str">
        <f>T("   GP")</f>
        <v xml:space="preserve">   GP</v>
      </c>
      <c r="B190" t="str">
        <f>T("   Guadeloupe")</f>
        <v xml:space="preserve">   Guadeloupe</v>
      </c>
      <c r="C190">
        <v>1000000</v>
      </c>
      <c r="D190">
        <v>10000</v>
      </c>
    </row>
    <row r="191" spans="1:4" x14ac:dyDescent="0.25">
      <c r="A191" t="str">
        <f>T("   IN")</f>
        <v xml:space="preserve">   IN</v>
      </c>
      <c r="B191" t="str">
        <f>T("   Inde")</f>
        <v xml:space="preserve">   Inde</v>
      </c>
      <c r="C191">
        <v>1149959695</v>
      </c>
      <c r="D191">
        <v>6847424</v>
      </c>
    </row>
    <row r="192" spans="1:4" x14ac:dyDescent="0.25">
      <c r="A192" t="str">
        <f>T("   LR")</f>
        <v xml:space="preserve">   LR</v>
      </c>
      <c r="B192" t="str">
        <f>T("   Libéria")</f>
        <v xml:space="preserve">   Libéria</v>
      </c>
      <c r="C192">
        <v>36077636</v>
      </c>
      <c r="D192">
        <v>402</v>
      </c>
    </row>
    <row r="193" spans="1:4" x14ac:dyDescent="0.25">
      <c r="A193" t="str">
        <f>T("   MY")</f>
        <v xml:space="preserve">   MY</v>
      </c>
      <c r="B193" t="str">
        <f>T("   Malaisie")</f>
        <v xml:space="preserve">   Malaisie</v>
      </c>
      <c r="C193">
        <v>90249149</v>
      </c>
      <c r="D193">
        <v>455686</v>
      </c>
    </row>
    <row r="194" spans="1:4" x14ac:dyDescent="0.25">
      <c r="A194" t="str">
        <f>T("   NG")</f>
        <v xml:space="preserve">   NG</v>
      </c>
      <c r="B194" t="str">
        <f>T("   Nigéria")</f>
        <v xml:space="preserve">   Nigéria</v>
      </c>
      <c r="C194">
        <v>106061688</v>
      </c>
      <c r="D194">
        <v>1161</v>
      </c>
    </row>
    <row r="195" spans="1:4" x14ac:dyDescent="0.25">
      <c r="A195" t="str">
        <f>T("   NL")</f>
        <v xml:space="preserve">   NL</v>
      </c>
      <c r="B195" t="str">
        <f>T("   Pays-bas")</f>
        <v xml:space="preserve">   Pays-bas</v>
      </c>
      <c r="C195">
        <v>51579483</v>
      </c>
      <c r="D195">
        <v>50178</v>
      </c>
    </row>
    <row r="196" spans="1:4" x14ac:dyDescent="0.25">
      <c r="A196" t="str">
        <f>T("   VN")</f>
        <v xml:space="preserve">   VN</v>
      </c>
      <c r="B196" t="str">
        <f>T("   Vietnam")</f>
        <v xml:space="preserve">   Vietnam</v>
      </c>
      <c r="C196">
        <v>16302900</v>
      </c>
      <c r="D196">
        <v>118686</v>
      </c>
    </row>
    <row r="197" spans="1:4" x14ac:dyDescent="0.25">
      <c r="A197" t="str">
        <f>T("120999")</f>
        <v>120999</v>
      </c>
      <c r="B197" t="str">
        <f>T("Graines, fruits et spores à ensemencer (à l'excl. des légumes à cosse, du maïs doux, café, thé, maté, des épices, céréales, graines et fruits oléagineux, betteraves, plantes fourragères, graines de légumes ainsi que des graines de plantes herbacées utilis")</f>
        <v>Graines, fruits et spores à ensemencer (à l'excl. des légumes à cosse, du maïs doux, café, thé, maté, des épices, céréales, graines et fruits oléagineux, betteraves, plantes fourragères, graines de légumes ainsi que des graines de plantes herbacées utilis</v>
      </c>
    </row>
    <row r="198" spans="1:4" x14ac:dyDescent="0.25">
      <c r="A198" t="str">
        <f>T("   ZZZ_Monde")</f>
        <v xml:space="preserve">   ZZZ_Monde</v>
      </c>
      <c r="B198" t="str">
        <f>T("   ZZZ_Monde")</f>
        <v xml:space="preserve">   ZZZ_Monde</v>
      </c>
      <c r="C198">
        <v>34400000</v>
      </c>
      <c r="D198">
        <v>344000</v>
      </c>
    </row>
    <row r="199" spans="1:4" x14ac:dyDescent="0.25">
      <c r="A199" t="str">
        <f>T("   IN")</f>
        <v xml:space="preserve">   IN</v>
      </c>
      <c r="B199" t="str">
        <f>T("   Inde")</f>
        <v xml:space="preserve">   Inde</v>
      </c>
      <c r="C199">
        <v>34400000</v>
      </c>
      <c r="D199">
        <v>344000</v>
      </c>
    </row>
    <row r="200" spans="1:4" x14ac:dyDescent="0.25">
      <c r="A200" t="str">
        <f>T("121220")</f>
        <v>121220</v>
      </c>
      <c r="B200" t="str">
        <f>T("Algues, fraîches, réfrigérées, congelées ou séchées, même pulvérisées")</f>
        <v>Algues, fraîches, réfrigérées, congelées ou séchées, même pulvérisées</v>
      </c>
    </row>
    <row r="201" spans="1:4" x14ac:dyDescent="0.25">
      <c r="A201" t="str">
        <f>T("   ZZZ_Monde")</f>
        <v xml:space="preserve">   ZZZ_Monde</v>
      </c>
      <c r="B201" t="str">
        <f>T("   ZZZ_Monde")</f>
        <v xml:space="preserve">   ZZZ_Monde</v>
      </c>
      <c r="C201">
        <v>18038818</v>
      </c>
      <c r="D201">
        <v>160</v>
      </c>
    </row>
    <row r="202" spans="1:4" x14ac:dyDescent="0.25">
      <c r="A202" t="str">
        <f>T("   CF")</f>
        <v xml:space="preserve">   CF</v>
      </c>
      <c r="B202" t="str">
        <f>T("   Centrafricaine, République")</f>
        <v xml:space="preserve">   Centrafricaine, République</v>
      </c>
      <c r="C202">
        <v>18038818</v>
      </c>
      <c r="D202">
        <v>160</v>
      </c>
    </row>
    <row r="203" spans="1:4" x14ac:dyDescent="0.25">
      <c r="A203" t="str">
        <f>T("121230")</f>
        <v>121230</v>
      </c>
      <c r="B203" t="str">
        <f>T("Noyaux et amandes d'abricots, de pêches [y.c. des brugnons et nectarines] ou de prunes")</f>
        <v>Noyaux et amandes d'abricots, de pêches [y.c. des brugnons et nectarines] ou de prunes</v>
      </c>
    </row>
    <row r="204" spans="1:4" x14ac:dyDescent="0.25">
      <c r="A204" t="str">
        <f>T("   ZZZ_Monde")</f>
        <v xml:space="preserve">   ZZZ_Monde</v>
      </c>
      <c r="B204" t="str">
        <f>T("   ZZZ_Monde")</f>
        <v xml:space="preserve">   ZZZ_Monde</v>
      </c>
      <c r="C204">
        <v>706775372</v>
      </c>
      <c r="D204">
        <v>8722.24</v>
      </c>
    </row>
    <row r="205" spans="1:4" x14ac:dyDescent="0.25">
      <c r="A205" t="str">
        <f>T("   CD")</f>
        <v xml:space="preserve">   CD</v>
      </c>
      <c r="B205" t="str">
        <f>T("   Congo, République Démocratique")</f>
        <v xml:space="preserve">   Congo, République Démocratique</v>
      </c>
      <c r="C205">
        <v>107944283</v>
      </c>
      <c r="D205">
        <v>1236</v>
      </c>
    </row>
    <row r="206" spans="1:4" x14ac:dyDescent="0.25">
      <c r="A206" t="str">
        <f>T("   CF")</f>
        <v xml:space="preserve">   CF</v>
      </c>
      <c r="B206" t="str">
        <f>T("   Centrafricaine, République")</f>
        <v xml:space="preserve">   Centrafricaine, République</v>
      </c>
      <c r="C206">
        <v>54116454</v>
      </c>
      <c r="D206">
        <v>480</v>
      </c>
    </row>
    <row r="207" spans="1:4" x14ac:dyDescent="0.25">
      <c r="A207" t="str">
        <f>T("   CI")</f>
        <v xml:space="preserve">   CI</v>
      </c>
      <c r="B207" t="str">
        <f>T("   Côte d'Ivoire")</f>
        <v xml:space="preserve">   Côte d'Ivoire</v>
      </c>
      <c r="C207">
        <v>61856744</v>
      </c>
      <c r="D207">
        <v>518</v>
      </c>
    </row>
    <row r="208" spans="1:4" x14ac:dyDescent="0.25">
      <c r="A208" t="str">
        <f>T("   CO")</f>
        <v xml:space="preserve">   CO</v>
      </c>
      <c r="B208" t="str">
        <f>T("   Colombie")</f>
        <v xml:space="preserve">   Colombie</v>
      </c>
      <c r="C208">
        <v>120000</v>
      </c>
      <c r="D208">
        <v>94.87</v>
      </c>
    </row>
    <row r="209" spans="1:4" x14ac:dyDescent="0.25">
      <c r="A209" t="str">
        <f>T("   DE")</f>
        <v xml:space="preserve">   DE</v>
      </c>
      <c r="B209" t="str">
        <f>T("   Allemagne")</f>
        <v xml:space="preserve">   Allemagne</v>
      </c>
      <c r="C209">
        <v>47215785</v>
      </c>
      <c r="D209">
        <v>546</v>
      </c>
    </row>
    <row r="210" spans="1:4" x14ac:dyDescent="0.25">
      <c r="A210" t="str">
        <f>T("   EC")</f>
        <v xml:space="preserve">   EC</v>
      </c>
      <c r="B210" t="str">
        <f>T("   Equateur")</f>
        <v xml:space="preserve">   Equateur</v>
      </c>
      <c r="C210">
        <v>60000</v>
      </c>
      <c r="D210">
        <v>244</v>
      </c>
    </row>
    <row r="211" spans="1:4" x14ac:dyDescent="0.25">
      <c r="A211" t="str">
        <f>T("   GA")</f>
        <v xml:space="preserve">   GA</v>
      </c>
      <c r="B211" t="str">
        <f>T("   Gabon")</f>
        <v xml:space="preserve">   Gabon</v>
      </c>
      <c r="C211">
        <v>60020066</v>
      </c>
      <c r="D211">
        <v>686</v>
      </c>
    </row>
    <row r="212" spans="1:4" x14ac:dyDescent="0.25">
      <c r="A212" t="str">
        <f>T("   GD")</f>
        <v xml:space="preserve">   GD</v>
      </c>
      <c r="B212" t="str">
        <f>T("   Grenade")</f>
        <v xml:space="preserve">   Grenade</v>
      </c>
      <c r="C212">
        <v>28009364</v>
      </c>
      <c r="D212">
        <v>230</v>
      </c>
    </row>
    <row r="213" spans="1:4" x14ac:dyDescent="0.25">
      <c r="A213" t="str">
        <f>T("   ID")</f>
        <v xml:space="preserve">   ID</v>
      </c>
      <c r="B213" t="str">
        <f>T("   Indonésie")</f>
        <v xml:space="preserve">   Indonésie</v>
      </c>
      <c r="C213">
        <v>80000</v>
      </c>
      <c r="D213">
        <v>19</v>
      </c>
    </row>
    <row r="214" spans="1:4" x14ac:dyDescent="0.25">
      <c r="A214" t="str">
        <f>T("   LR")</f>
        <v xml:space="preserve">   LR</v>
      </c>
      <c r="B214" t="str">
        <f>T("   Libéria")</f>
        <v xml:space="preserve">   Libéria</v>
      </c>
      <c r="C214">
        <v>148351239</v>
      </c>
      <c r="D214">
        <v>1638</v>
      </c>
    </row>
    <row r="215" spans="1:4" x14ac:dyDescent="0.25">
      <c r="A215" t="str">
        <f>T("   MM")</f>
        <v xml:space="preserve">   MM</v>
      </c>
      <c r="B215" t="str">
        <f>T("   Myanmar")</f>
        <v xml:space="preserve">   Myanmar</v>
      </c>
      <c r="C215">
        <v>9839355</v>
      </c>
      <c r="D215">
        <v>170</v>
      </c>
    </row>
    <row r="216" spans="1:4" x14ac:dyDescent="0.25">
      <c r="A216" t="str">
        <f>T("   NG")</f>
        <v xml:space="preserve">   NG</v>
      </c>
      <c r="B216" t="str">
        <f>T("   Nigéria")</f>
        <v xml:space="preserve">   Nigéria</v>
      </c>
      <c r="C216">
        <v>91722468</v>
      </c>
      <c r="D216">
        <v>725</v>
      </c>
    </row>
    <row r="217" spans="1:4" x14ac:dyDescent="0.25">
      <c r="A217" t="str">
        <f>T("   SL")</f>
        <v xml:space="preserve">   SL</v>
      </c>
      <c r="B217" t="str">
        <f>T("   Sierra Leone")</f>
        <v xml:space="preserve">   Sierra Leone</v>
      </c>
      <c r="C217">
        <v>10823290</v>
      </c>
      <c r="D217">
        <v>104</v>
      </c>
    </row>
    <row r="218" spans="1:4" x14ac:dyDescent="0.25">
      <c r="A218" t="str">
        <f>T("   TH")</f>
        <v xml:space="preserve">   TH</v>
      </c>
      <c r="B218" t="str">
        <f>T("   Thaïlande")</f>
        <v xml:space="preserve">   Thaïlande</v>
      </c>
      <c r="C218">
        <v>86616324</v>
      </c>
      <c r="D218">
        <v>2031.37</v>
      </c>
    </row>
    <row r="219" spans="1:4" x14ac:dyDescent="0.25">
      <c r="A219" t="str">
        <f>T("121299")</f>
        <v>121299</v>
      </c>
      <c r="B219" t="str">
        <f>T("NOYAUX ET AMANDES DE FRUITS ET AUTRES PRODUITS VÉGÉTAUX - Y.C. LES RACINES DE CHICORÉE NON-TORRÉFIÉES DE LA VARIÉTÉ 'CICHORIUM INTYBUS SATIVUM' -, SERVANT PRINCIPALEMENT À L'ALIMENTATION HUMAINE, N.D.A.")</f>
        <v>NOYAUX ET AMANDES DE FRUITS ET AUTRES PRODUITS VÉGÉTAUX - Y.C. LES RACINES DE CHICORÉE NON-TORRÉFIÉES DE LA VARIÉTÉ 'CICHORIUM INTYBUS SATIVUM' -, SERVANT PRINCIPALEMENT À L'ALIMENTATION HUMAINE, N.D.A.</v>
      </c>
    </row>
    <row r="220" spans="1:4" x14ac:dyDescent="0.25">
      <c r="A220" t="str">
        <f>T("   ZZZ_Monde")</f>
        <v xml:space="preserve">   ZZZ_Monde</v>
      </c>
      <c r="B220" t="str">
        <f>T("   ZZZ_Monde")</f>
        <v xml:space="preserve">   ZZZ_Monde</v>
      </c>
      <c r="C220">
        <v>14722500</v>
      </c>
      <c r="D220">
        <v>98150</v>
      </c>
    </row>
    <row r="221" spans="1:4" x14ac:dyDescent="0.25">
      <c r="A221" t="str">
        <f>T("   ES")</f>
        <v xml:space="preserve">   ES</v>
      </c>
      <c r="B221" t="str">
        <f>T("   Espagne")</f>
        <v xml:space="preserve">   Espagne</v>
      </c>
      <c r="C221">
        <v>14722500</v>
      </c>
      <c r="D221">
        <v>98150</v>
      </c>
    </row>
    <row r="222" spans="1:4" x14ac:dyDescent="0.25">
      <c r="A222" t="str">
        <f>T("130120")</f>
        <v>130120</v>
      </c>
      <c r="B222" t="str">
        <f>T("Gomme arabique")</f>
        <v>Gomme arabique</v>
      </c>
    </row>
    <row r="223" spans="1:4" x14ac:dyDescent="0.25">
      <c r="A223" t="str">
        <f>T("   ZZZ_Monde")</f>
        <v xml:space="preserve">   ZZZ_Monde</v>
      </c>
      <c r="B223" t="str">
        <f>T("   ZZZ_Monde")</f>
        <v xml:space="preserve">   ZZZ_Monde</v>
      </c>
      <c r="C223">
        <v>4040000</v>
      </c>
      <c r="D223">
        <v>35200</v>
      </c>
    </row>
    <row r="224" spans="1:4" x14ac:dyDescent="0.25">
      <c r="A224" t="str">
        <f>T("   CN")</f>
        <v xml:space="preserve">   CN</v>
      </c>
      <c r="B224" t="str">
        <f>T("   Chine")</f>
        <v xml:space="preserve">   Chine</v>
      </c>
      <c r="C224">
        <v>1400000</v>
      </c>
      <c r="D224">
        <v>22000</v>
      </c>
    </row>
    <row r="225" spans="1:4" x14ac:dyDescent="0.25">
      <c r="A225" t="str">
        <f>T("   FR")</f>
        <v xml:space="preserve">   FR</v>
      </c>
      <c r="B225" t="str">
        <f>T("   France")</f>
        <v xml:space="preserve">   France</v>
      </c>
      <c r="C225">
        <v>2640000</v>
      </c>
      <c r="D225">
        <v>13200</v>
      </c>
    </row>
    <row r="226" spans="1:4" x14ac:dyDescent="0.25">
      <c r="A226" t="str">
        <f>T("140420")</f>
        <v>140420</v>
      </c>
      <c r="B226" t="str">
        <f>T("Linters de coton")</f>
        <v>Linters de coton</v>
      </c>
    </row>
    <row r="227" spans="1:4" x14ac:dyDescent="0.25">
      <c r="A227" t="str">
        <f>T("   ZZZ_Monde")</f>
        <v xml:space="preserve">   ZZZ_Monde</v>
      </c>
      <c r="B227" t="str">
        <f>T("   ZZZ_Monde")</f>
        <v xml:space="preserve">   ZZZ_Monde</v>
      </c>
      <c r="C227">
        <v>356312007</v>
      </c>
      <c r="D227">
        <v>1980000</v>
      </c>
    </row>
    <row r="228" spans="1:4" x14ac:dyDescent="0.25">
      <c r="A228" t="str">
        <f>T("   CN")</f>
        <v xml:space="preserve">   CN</v>
      </c>
      <c r="B228" t="str">
        <f>T("   Chine")</f>
        <v xml:space="preserve">   Chine</v>
      </c>
      <c r="C228">
        <v>356312007</v>
      </c>
      <c r="D228">
        <v>1980000</v>
      </c>
    </row>
    <row r="229" spans="1:4" x14ac:dyDescent="0.25">
      <c r="A229" t="str">
        <f>T("150790")</f>
        <v>150790</v>
      </c>
      <c r="B229" t="str">
        <f>T("Huile de soja et ses fractions, même raffinées, mais non chimiquement modifiées (à l'excl. de l'huile de soja brute)")</f>
        <v>Huile de soja et ses fractions, même raffinées, mais non chimiquement modifiées (à l'excl. de l'huile de soja brute)</v>
      </c>
    </row>
    <row r="230" spans="1:4" x14ac:dyDescent="0.25">
      <c r="A230" t="str">
        <f>T("   ZZZ_Monde")</f>
        <v xml:space="preserve">   ZZZ_Monde</v>
      </c>
      <c r="B230" t="str">
        <f>T("   ZZZ_Monde")</f>
        <v xml:space="preserve">   ZZZ_Monde</v>
      </c>
      <c r="C230">
        <v>270402041</v>
      </c>
      <c r="D230">
        <v>407980</v>
      </c>
    </row>
    <row r="231" spans="1:4" x14ac:dyDescent="0.25">
      <c r="A231" t="str">
        <f>T("   SN")</f>
        <v xml:space="preserve">   SN</v>
      </c>
      <c r="B231" t="str">
        <f>T("   Sénégal")</f>
        <v xml:space="preserve">   Sénégal</v>
      </c>
      <c r="C231">
        <v>270402041</v>
      </c>
      <c r="D231">
        <v>407980</v>
      </c>
    </row>
    <row r="232" spans="1:4" x14ac:dyDescent="0.25">
      <c r="A232" t="str">
        <f>T("150890")</f>
        <v>150890</v>
      </c>
      <c r="B232" t="str">
        <f>T("Huile d'arachide et ses fractions, même raffinées, mais non chimiquement modifiées (à l'excl. de l'huile d'arachide brute)")</f>
        <v>Huile d'arachide et ses fractions, même raffinées, mais non chimiquement modifiées (à l'excl. de l'huile d'arachide brute)</v>
      </c>
    </row>
    <row r="233" spans="1:4" x14ac:dyDescent="0.25">
      <c r="A233" t="str">
        <f>T("   ZZZ_Monde")</f>
        <v xml:space="preserve">   ZZZ_Monde</v>
      </c>
      <c r="B233" t="str">
        <f>T("   ZZZ_Monde")</f>
        <v xml:space="preserve">   ZZZ_Monde</v>
      </c>
      <c r="C233">
        <v>212274500</v>
      </c>
      <c r="D233">
        <v>300220</v>
      </c>
    </row>
    <row r="234" spans="1:4" x14ac:dyDescent="0.25">
      <c r="A234" t="str">
        <f>T("   NG")</f>
        <v xml:space="preserve">   NG</v>
      </c>
      <c r="B234" t="str">
        <f>T("   Nigéria")</f>
        <v xml:space="preserve">   Nigéria</v>
      </c>
      <c r="C234">
        <v>212274500</v>
      </c>
      <c r="D234">
        <v>300220</v>
      </c>
    </row>
    <row r="235" spans="1:4" x14ac:dyDescent="0.25">
      <c r="A235" t="str">
        <f>T("150990")</f>
        <v>150990</v>
      </c>
      <c r="B235" t="str">
        <f>T("Huile d'olive et ses fractions, traitées mais non chimiquement modifiées, obtenues, à partir des fruits de l'olivier, uniquement par des procédés mécaniques ou physiques, dans des conditions n'altérant pas l'huile")</f>
        <v>Huile d'olive et ses fractions, traitées mais non chimiquement modifiées, obtenues, à partir des fruits de l'olivier, uniquement par des procédés mécaniques ou physiques, dans des conditions n'altérant pas l'huile</v>
      </c>
    </row>
    <row r="236" spans="1:4" x14ac:dyDescent="0.25">
      <c r="A236" t="str">
        <f>T("   ZZZ_Monde")</f>
        <v xml:space="preserve">   ZZZ_Monde</v>
      </c>
      <c r="B236" t="str">
        <f>T("   ZZZ_Monde")</f>
        <v xml:space="preserve">   ZZZ_Monde</v>
      </c>
      <c r="C236">
        <v>346619800</v>
      </c>
      <c r="D236">
        <v>626920</v>
      </c>
    </row>
    <row r="237" spans="1:4" x14ac:dyDescent="0.25">
      <c r="A237" t="str">
        <f>T("   NG")</f>
        <v xml:space="preserve">   NG</v>
      </c>
      <c r="B237" t="str">
        <f>T("   Nigéria")</f>
        <v xml:space="preserve">   Nigéria</v>
      </c>
      <c r="C237">
        <v>346619800</v>
      </c>
      <c r="D237">
        <v>626920</v>
      </c>
    </row>
    <row r="238" spans="1:4" x14ac:dyDescent="0.25">
      <c r="A238" t="str">
        <f>T("151110")</f>
        <v>151110</v>
      </c>
      <c r="B238" t="str">
        <f>T("Huile de palme, brute")</f>
        <v>Huile de palme, brute</v>
      </c>
    </row>
    <row r="239" spans="1:4" x14ac:dyDescent="0.25">
      <c r="A239" t="str">
        <f>T("   ZZZ_Monde")</f>
        <v xml:space="preserve">   ZZZ_Monde</v>
      </c>
      <c r="B239" t="str">
        <f>T("   ZZZ_Monde")</f>
        <v xml:space="preserve">   ZZZ_Monde</v>
      </c>
      <c r="C239">
        <v>120000</v>
      </c>
      <c r="D239">
        <v>400</v>
      </c>
    </row>
    <row r="240" spans="1:4" x14ac:dyDescent="0.25">
      <c r="A240" t="str">
        <f>T("   SN")</f>
        <v xml:space="preserve">   SN</v>
      </c>
      <c r="B240" t="str">
        <f>T("   Sénégal")</f>
        <v xml:space="preserve">   Sénégal</v>
      </c>
      <c r="C240">
        <v>120000</v>
      </c>
      <c r="D240">
        <v>400</v>
      </c>
    </row>
    <row r="241" spans="1:4" x14ac:dyDescent="0.25">
      <c r="A241" t="str">
        <f>T("151190")</f>
        <v>151190</v>
      </c>
      <c r="B241" t="str">
        <f>T("Huile de palme et ses fractions, même raffinées, mais non chimiquement modifiées (à l'excl. de l'huile de palme brute)")</f>
        <v>Huile de palme et ses fractions, même raffinées, mais non chimiquement modifiées (à l'excl. de l'huile de palme brute)</v>
      </c>
    </row>
    <row r="242" spans="1:4" x14ac:dyDescent="0.25">
      <c r="A242" t="str">
        <f>T("   ZZZ_Monde")</f>
        <v xml:space="preserve">   ZZZ_Monde</v>
      </c>
      <c r="B242" t="str">
        <f>T("   ZZZ_Monde")</f>
        <v xml:space="preserve">   ZZZ_Monde</v>
      </c>
      <c r="C242">
        <v>1299596816</v>
      </c>
      <c r="D242">
        <v>4108769</v>
      </c>
    </row>
    <row r="243" spans="1:4" x14ac:dyDescent="0.25">
      <c r="A243" t="str">
        <f>T("   FR")</f>
        <v xml:space="preserve">   FR</v>
      </c>
      <c r="B243" t="str">
        <f>T("   France")</f>
        <v xml:space="preserve">   France</v>
      </c>
      <c r="C243">
        <v>13454066</v>
      </c>
      <c r="D243">
        <v>50992</v>
      </c>
    </row>
    <row r="244" spans="1:4" x14ac:dyDescent="0.25">
      <c r="A244" t="str">
        <f>T("   NE")</f>
        <v xml:space="preserve">   NE</v>
      </c>
      <c r="B244" t="str">
        <f>T("   Niger")</f>
        <v xml:space="preserve">   Niger</v>
      </c>
      <c r="C244">
        <v>822629250</v>
      </c>
      <c r="D244">
        <v>3290577</v>
      </c>
    </row>
    <row r="245" spans="1:4" x14ac:dyDescent="0.25">
      <c r="A245" t="str">
        <f>T("   NG")</f>
        <v xml:space="preserve">   NG</v>
      </c>
      <c r="B245" t="str">
        <f>T("   Nigéria")</f>
        <v xml:space="preserve">   Nigéria</v>
      </c>
      <c r="C245">
        <v>462513500</v>
      </c>
      <c r="D245">
        <v>757200</v>
      </c>
    </row>
    <row r="246" spans="1:4" x14ac:dyDescent="0.25">
      <c r="A246" t="str">
        <f>T("   US")</f>
        <v xml:space="preserve">   US</v>
      </c>
      <c r="B246" t="str">
        <f>T("   Etats-Unis")</f>
        <v xml:space="preserve">   Etats-Unis</v>
      </c>
      <c r="C246">
        <v>1000000</v>
      </c>
      <c r="D246">
        <v>10000</v>
      </c>
    </row>
    <row r="247" spans="1:4" x14ac:dyDescent="0.25">
      <c r="A247" t="str">
        <f>T("151219")</f>
        <v>151219</v>
      </c>
      <c r="B247" t="str">
        <f>T("Huiles de tournesol ou de carthame et leurs fractions, même raffinées, mais non chimiquement modifiées (à l'excl. des huiles brutes)")</f>
        <v>Huiles de tournesol ou de carthame et leurs fractions, même raffinées, mais non chimiquement modifiées (à l'excl. des huiles brutes)</v>
      </c>
    </row>
    <row r="248" spans="1:4" x14ac:dyDescent="0.25">
      <c r="A248" t="str">
        <f>T("   ZZZ_Monde")</f>
        <v xml:space="preserve">   ZZZ_Monde</v>
      </c>
      <c r="B248" t="str">
        <f>T("   ZZZ_Monde")</f>
        <v xml:space="preserve">   ZZZ_Monde</v>
      </c>
      <c r="C248">
        <v>256369500</v>
      </c>
      <c r="D248">
        <v>427360</v>
      </c>
    </row>
    <row r="249" spans="1:4" x14ac:dyDescent="0.25">
      <c r="A249" t="str">
        <f>T("   NG")</f>
        <v xml:space="preserve">   NG</v>
      </c>
      <c r="B249" t="str">
        <f>T("   Nigéria")</f>
        <v xml:space="preserve">   Nigéria</v>
      </c>
      <c r="C249">
        <v>256369500</v>
      </c>
      <c r="D249">
        <v>427360</v>
      </c>
    </row>
    <row r="250" spans="1:4" x14ac:dyDescent="0.25">
      <c r="A250" t="str">
        <f>T("151229")</f>
        <v>151229</v>
      </c>
      <c r="B250" t="str">
        <f>T("Huile de coton et ses fractions, même dépourvues de gossipol ou raffinées, mais non chimiquement modifiées (à l'excl. de l'huile de coton brute)")</f>
        <v>Huile de coton et ses fractions, même dépourvues de gossipol ou raffinées, mais non chimiquement modifiées (à l'excl. de l'huile de coton brute)</v>
      </c>
    </row>
    <row r="251" spans="1:4" x14ac:dyDescent="0.25">
      <c r="A251" t="str">
        <f>T("   ZZZ_Monde")</f>
        <v xml:space="preserve">   ZZZ_Monde</v>
      </c>
      <c r="B251" t="str">
        <f>T("   ZZZ_Monde")</f>
        <v xml:space="preserve">   ZZZ_Monde</v>
      </c>
      <c r="C251">
        <v>4281324600</v>
      </c>
      <c r="D251">
        <v>7200260</v>
      </c>
    </row>
    <row r="252" spans="1:4" x14ac:dyDescent="0.25">
      <c r="A252" t="str">
        <f>T("   NG")</f>
        <v xml:space="preserve">   NG</v>
      </c>
      <c r="B252" t="str">
        <f>T("   Nigéria")</f>
        <v xml:space="preserve">   Nigéria</v>
      </c>
      <c r="C252">
        <v>4281324600</v>
      </c>
      <c r="D252">
        <v>7200260</v>
      </c>
    </row>
    <row r="253" spans="1:4" x14ac:dyDescent="0.25">
      <c r="A253" t="str">
        <f>T("151311")</f>
        <v>151311</v>
      </c>
      <c r="B253" t="str">
        <f>T("Huile de coco [coprah], brute")</f>
        <v>Huile de coco [coprah], brute</v>
      </c>
    </row>
    <row r="254" spans="1:4" x14ac:dyDescent="0.25">
      <c r="A254" t="str">
        <f>T("   ZZZ_Monde")</f>
        <v xml:space="preserve">   ZZZ_Monde</v>
      </c>
      <c r="B254" t="str">
        <f>T("   ZZZ_Monde")</f>
        <v xml:space="preserve">   ZZZ_Monde</v>
      </c>
      <c r="C254">
        <v>1350</v>
      </c>
      <c r="D254">
        <v>435</v>
      </c>
    </row>
    <row r="255" spans="1:4" x14ac:dyDescent="0.25">
      <c r="A255" t="str">
        <f>T("   IT")</f>
        <v xml:space="preserve">   IT</v>
      </c>
      <c r="B255" t="str">
        <f>T("   Italie")</f>
        <v xml:space="preserve">   Italie</v>
      </c>
      <c r="C255">
        <v>1350</v>
      </c>
      <c r="D255">
        <v>435</v>
      </c>
    </row>
    <row r="256" spans="1:4" x14ac:dyDescent="0.25">
      <c r="A256" t="str">
        <f>T("151590")</f>
        <v>151590</v>
      </c>
      <c r="B256" t="str">
        <f>T("Graisses et huiles végétales et leurs fractions, fixes, même raffinées, mais non chimiquement modifiées (à l'excl. des huiles de soja, d'arachide, d'olive, de palme, de tournesol, de carthame, de coton, de coco [coprah], de palmiste, de babassu, de navett")</f>
        <v>Graisses et huiles végétales et leurs fractions, fixes, même raffinées, mais non chimiquement modifiées (à l'excl. des huiles de soja, d'arachide, d'olive, de palme, de tournesol, de carthame, de coton, de coco [coprah], de palmiste, de babassu, de navett</v>
      </c>
    </row>
    <row r="257" spans="1:4" x14ac:dyDescent="0.25">
      <c r="A257" t="str">
        <f>T("   ZZZ_Monde")</f>
        <v xml:space="preserve">   ZZZ_Monde</v>
      </c>
      <c r="B257" t="str">
        <f>T("   ZZZ_Monde")</f>
        <v xml:space="preserve">   ZZZ_Monde</v>
      </c>
      <c r="C257">
        <v>77436674</v>
      </c>
      <c r="D257">
        <v>110462.3</v>
      </c>
    </row>
    <row r="258" spans="1:4" x14ac:dyDescent="0.25">
      <c r="A258" t="str">
        <f>T("   BE")</f>
        <v xml:space="preserve">   BE</v>
      </c>
      <c r="B258" t="str">
        <f>T("   Belgique")</f>
        <v xml:space="preserve">   Belgique</v>
      </c>
      <c r="C258">
        <v>200000</v>
      </c>
      <c r="D258">
        <v>1020</v>
      </c>
    </row>
    <row r="259" spans="1:4" x14ac:dyDescent="0.25">
      <c r="A259" t="str">
        <f>T("   HR")</f>
        <v xml:space="preserve">   HR</v>
      </c>
      <c r="B259" t="str">
        <f>T("   Croatie")</f>
        <v xml:space="preserve">   Croatie</v>
      </c>
      <c r="C259">
        <v>1574304</v>
      </c>
      <c r="D259">
        <v>2000</v>
      </c>
    </row>
    <row r="260" spans="1:4" x14ac:dyDescent="0.25">
      <c r="A260" t="str">
        <f>T("   NG")</f>
        <v xml:space="preserve">   NG</v>
      </c>
      <c r="B260" t="str">
        <f>T("   Nigéria")</f>
        <v xml:space="preserve">   Nigéria</v>
      </c>
      <c r="C260">
        <v>59137700</v>
      </c>
      <c r="D260">
        <v>93740</v>
      </c>
    </row>
    <row r="261" spans="1:4" x14ac:dyDescent="0.25">
      <c r="A261" t="str">
        <f>T("   US")</f>
        <v xml:space="preserve">   US</v>
      </c>
      <c r="B261" t="str">
        <f>T("   Etats-Unis")</f>
        <v xml:space="preserve">   Etats-Unis</v>
      </c>
      <c r="C261">
        <v>16524670</v>
      </c>
      <c r="D261">
        <v>13702.3</v>
      </c>
    </row>
    <row r="262" spans="1:4" x14ac:dyDescent="0.25">
      <c r="A262" t="str">
        <f>T("151620")</f>
        <v>151620</v>
      </c>
      <c r="B262" t="str">
        <f>T("Graisses et huiles végétales et leurs fractions, partiellement ou totalement hydrogénées, interestérifiées, réestérifiées ou élaïdinisées, même raffinées, mais non autrement préparées")</f>
        <v>Graisses et huiles végétales et leurs fractions, partiellement ou totalement hydrogénées, interestérifiées, réestérifiées ou élaïdinisées, même raffinées, mais non autrement préparées</v>
      </c>
    </row>
    <row r="263" spans="1:4" x14ac:dyDescent="0.25">
      <c r="A263" t="str">
        <f>T("   ZZZ_Monde")</f>
        <v xml:space="preserve">   ZZZ_Monde</v>
      </c>
      <c r="B263" t="str">
        <f>T("   ZZZ_Monde")</f>
        <v xml:space="preserve">   ZZZ_Monde</v>
      </c>
      <c r="C263">
        <v>136341000</v>
      </c>
      <c r="D263">
        <v>231740</v>
      </c>
    </row>
    <row r="264" spans="1:4" x14ac:dyDescent="0.25">
      <c r="A264" t="str">
        <f>T("   NG")</f>
        <v xml:space="preserve">   NG</v>
      </c>
      <c r="B264" t="str">
        <f>T("   Nigéria")</f>
        <v xml:space="preserve">   Nigéria</v>
      </c>
      <c r="C264">
        <v>136247000</v>
      </c>
      <c r="D264">
        <v>231540</v>
      </c>
    </row>
    <row r="265" spans="1:4" x14ac:dyDescent="0.25">
      <c r="A265" t="str">
        <f>T("   SN")</f>
        <v xml:space="preserve">   SN</v>
      </c>
      <c r="B265" t="str">
        <f>T("   Sénégal")</f>
        <v xml:space="preserve">   Sénégal</v>
      </c>
      <c r="C265">
        <v>94000</v>
      </c>
      <c r="D265">
        <v>200</v>
      </c>
    </row>
    <row r="266" spans="1:4" x14ac:dyDescent="0.25">
      <c r="A266" t="str">
        <f>T("151790")</f>
        <v>151790</v>
      </c>
      <c r="B266" t="str">
        <f>T("Mélanges ou préparations alimentaires de graisses ou huiles animales ou végétales ou de fractions comestibles de différentes graisses ou huiles (sauf graisses et huiles et leurs fractions, partiellement ou totalement hydrogénées, interestérifiées, réestér")</f>
        <v>Mélanges ou préparations alimentaires de graisses ou huiles animales ou végétales ou de fractions comestibles de différentes graisses ou huiles (sauf graisses et huiles et leurs fractions, partiellement ou totalement hydrogénées, interestérifiées, réestér</v>
      </c>
    </row>
    <row r="267" spans="1:4" x14ac:dyDescent="0.25">
      <c r="A267" t="str">
        <f>T("   ZZZ_Monde")</f>
        <v xml:space="preserve">   ZZZ_Monde</v>
      </c>
      <c r="B267" t="str">
        <f>T("   ZZZ_Monde")</f>
        <v xml:space="preserve">   ZZZ_Monde</v>
      </c>
      <c r="C267">
        <v>30000</v>
      </c>
      <c r="D267">
        <v>250</v>
      </c>
    </row>
    <row r="268" spans="1:4" x14ac:dyDescent="0.25">
      <c r="A268" t="str">
        <f>T("   FR")</f>
        <v xml:space="preserve">   FR</v>
      </c>
      <c r="B268" t="str">
        <f>T("   France")</f>
        <v xml:space="preserve">   France</v>
      </c>
      <c r="C268">
        <v>30000</v>
      </c>
      <c r="D268">
        <v>250</v>
      </c>
    </row>
    <row r="269" spans="1:4" x14ac:dyDescent="0.25">
      <c r="A269" t="str">
        <f>T("160413")</f>
        <v>160413</v>
      </c>
      <c r="B269" t="str">
        <f>T("Préparations et conserves de sardines, sardinelles, sprats ou esprots, entiers ou en morceaux (à l'excl. des préparations et conserves de poissons hachés)")</f>
        <v>Préparations et conserves de sardines, sardinelles, sprats ou esprots, entiers ou en morceaux (à l'excl. des préparations et conserves de poissons hachés)</v>
      </c>
    </row>
    <row r="270" spans="1:4" x14ac:dyDescent="0.25">
      <c r="A270" t="str">
        <f>T("   ZZZ_Monde")</f>
        <v xml:space="preserve">   ZZZ_Monde</v>
      </c>
      <c r="B270" t="str">
        <f>T("   ZZZ_Monde")</f>
        <v xml:space="preserve">   ZZZ_Monde</v>
      </c>
      <c r="C270">
        <v>20000088</v>
      </c>
      <c r="D270">
        <v>77600</v>
      </c>
    </row>
    <row r="271" spans="1:4" x14ac:dyDescent="0.25">
      <c r="A271" t="str">
        <f>T("   CI")</f>
        <v xml:space="preserve">   CI</v>
      </c>
      <c r="B271" t="str">
        <f>T("   Côte d'Ivoire")</f>
        <v xml:space="preserve">   Côte d'Ivoire</v>
      </c>
      <c r="C271">
        <v>12000000</v>
      </c>
      <c r="D271">
        <v>54400</v>
      </c>
    </row>
    <row r="272" spans="1:4" x14ac:dyDescent="0.25">
      <c r="A272" t="str">
        <f>T("   CN")</f>
        <v xml:space="preserve">   CN</v>
      </c>
      <c r="B272" t="str">
        <f>T("   Chine")</f>
        <v xml:space="preserve">   Chine</v>
      </c>
      <c r="C272">
        <v>8000088</v>
      </c>
      <c r="D272">
        <v>23200</v>
      </c>
    </row>
    <row r="273" spans="1:4" x14ac:dyDescent="0.25">
      <c r="A273" t="str">
        <f>T("170111")</f>
        <v>170111</v>
      </c>
      <c r="B273" t="str">
        <f>T("Sucres de canne, bruts, sans addition d'aromatisants ou de colorants")</f>
        <v>Sucres de canne, bruts, sans addition d'aromatisants ou de colorants</v>
      </c>
    </row>
    <row r="274" spans="1:4" x14ac:dyDescent="0.25">
      <c r="A274" t="str">
        <f>T("   ZZZ_Monde")</f>
        <v xml:space="preserve">   ZZZ_Monde</v>
      </c>
      <c r="B274" t="str">
        <f>T("   ZZZ_Monde")</f>
        <v xml:space="preserve">   ZZZ_Monde</v>
      </c>
      <c r="C274">
        <v>5911745198</v>
      </c>
      <c r="D274">
        <v>17140000</v>
      </c>
    </row>
    <row r="275" spans="1:4" x14ac:dyDescent="0.25">
      <c r="A275" t="str">
        <f>T("   NE")</f>
        <v xml:space="preserve">   NE</v>
      </c>
      <c r="B275" t="str">
        <f>T("   Niger")</f>
        <v xml:space="preserve">   Niger</v>
      </c>
      <c r="C275">
        <v>1474600000</v>
      </c>
      <c r="D275">
        <v>4840000</v>
      </c>
    </row>
    <row r="276" spans="1:4" x14ac:dyDescent="0.25">
      <c r="A276" t="str">
        <f>T("   NL")</f>
        <v xml:space="preserve">   NL</v>
      </c>
      <c r="B276" t="str">
        <f>T("   Pays-bas")</f>
        <v xml:space="preserve">   Pays-bas</v>
      </c>
      <c r="C276">
        <v>4437145198</v>
      </c>
      <c r="D276">
        <v>12300000</v>
      </c>
    </row>
    <row r="277" spans="1:4" x14ac:dyDescent="0.25">
      <c r="A277" t="str">
        <f>T("190230")</f>
        <v>190230</v>
      </c>
      <c r="B277" t="str">
        <f>T("Pâtes alimentaires, cuites ou autrement préparées (à l'excl. des pâtes alimentaires farcies)")</f>
        <v>Pâtes alimentaires, cuites ou autrement préparées (à l'excl. des pâtes alimentaires farcies)</v>
      </c>
    </row>
    <row r="278" spans="1:4" x14ac:dyDescent="0.25">
      <c r="A278" t="str">
        <f>T("   ZZZ_Monde")</f>
        <v xml:space="preserve">   ZZZ_Monde</v>
      </c>
      <c r="B278" t="str">
        <f>T("   ZZZ_Monde")</f>
        <v xml:space="preserve">   ZZZ_Monde</v>
      </c>
      <c r="C278">
        <v>1130124228</v>
      </c>
      <c r="D278">
        <v>3206530</v>
      </c>
    </row>
    <row r="279" spans="1:4" x14ac:dyDescent="0.25">
      <c r="A279" t="str">
        <f>T("   GA")</f>
        <v xml:space="preserve">   GA</v>
      </c>
      <c r="B279" t="str">
        <f>T("   Gabon")</f>
        <v xml:space="preserve">   Gabon</v>
      </c>
      <c r="C279">
        <v>29351600</v>
      </c>
      <c r="D279">
        <v>63550</v>
      </c>
    </row>
    <row r="280" spans="1:4" x14ac:dyDescent="0.25">
      <c r="A280" t="str">
        <f>T("   LR")</f>
        <v xml:space="preserve">   LR</v>
      </c>
      <c r="B280" t="str">
        <f>T("   Libéria")</f>
        <v xml:space="preserve">   Libéria</v>
      </c>
      <c r="C280">
        <v>4336628</v>
      </c>
      <c r="D280">
        <v>25500</v>
      </c>
    </row>
    <row r="281" spans="1:4" x14ac:dyDescent="0.25">
      <c r="A281" t="str">
        <f>T("   NE")</f>
        <v xml:space="preserve">   NE</v>
      </c>
      <c r="B281" t="str">
        <f>T("   Niger")</f>
        <v xml:space="preserve">   Niger</v>
      </c>
      <c r="C281">
        <v>208000000</v>
      </c>
      <c r="D281">
        <v>1160000</v>
      </c>
    </row>
    <row r="282" spans="1:4" x14ac:dyDescent="0.25">
      <c r="A282" t="str">
        <f>T("   NG")</f>
        <v xml:space="preserve">   NG</v>
      </c>
      <c r="B282" t="str">
        <f>T("   Nigéria")</f>
        <v xml:space="preserve">   Nigéria</v>
      </c>
      <c r="C282">
        <v>841436000</v>
      </c>
      <c r="D282">
        <v>1857480</v>
      </c>
    </row>
    <row r="283" spans="1:4" x14ac:dyDescent="0.25">
      <c r="A283" t="str">
        <f>T("   TG")</f>
        <v xml:space="preserve">   TG</v>
      </c>
      <c r="B283" t="str">
        <f>T("   Togo")</f>
        <v xml:space="preserve">   Togo</v>
      </c>
      <c r="C283">
        <v>47000000</v>
      </c>
      <c r="D283">
        <v>100000</v>
      </c>
    </row>
    <row r="284" spans="1:4" x14ac:dyDescent="0.25">
      <c r="A284" t="str">
        <f>T("190410")</f>
        <v>190410</v>
      </c>
      <c r="B284" t="str">
        <f>T("PRODUITS À BASE DE CÉRÉALES OBTENUS PAR SOUFFLAGE OU GRILLAGE [CORN FLAKES, P.EX.]")</f>
        <v>PRODUITS À BASE DE CÉRÉALES OBTENUS PAR SOUFFLAGE OU GRILLAGE [CORN FLAKES, P.EX.]</v>
      </c>
    </row>
    <row r="285" spans="1:4" x14ac:dyDescent="0.25">
      <c r="A285" t="str">
        <f>T("   ZZZ_Monde")</f>
        <v xml:space="preserve">   ZZZ_Monde</v>
      </c>
      <c r="B285" t="str">
        <f>T("   ZZZ_Monde")</f>
        <v xml:space="preserve">   ZZZ_Monde</v>
      </c>
      <c r="C285">
        <v>715000</v>
      </c>
      <c r="D285">
        <v>700</v>
      </c>
    </row>
    <row r="286" spans="1:4" x14ac:dyDescent="0.25">
      <c r="A286" t="str">
        <f>T("   TG")</f>
        <v xml:space="preserve">   TG</v>
      </c>
      <c r="B286" t="str">
        <f>T("   Togo")</f>
        <v xml:space="preserve">   Togo</v>
      </c>
      <c r="C286">
        <v>715000</v>
      </c>
      <c r="D286">
        <v>700</v>
      </c>
    </row>
    <row r="287" spans="1:4" x14ac:dyDescent="0.25">
      <c r="A287" t="str">
        <f>T("190590")</f>
        <v>190590</v>
      </c>
      <c r="B287" t="str">
        <f>T("Produits de la boulangerie, pâtisserie ou biscuiterie, même additionnés de cacao, hosties, cachets vides des types utilisés pour médicaments, pains à cacheter, pâtes séchées de farine, d'amidon ou de fécule en feuilles et produits simil. (sauf pain croust")</f>
        <v>Produits de la boulangerie, pâtisserie ou biscuiterie, même additionnés de cacao, hosties, cachets vides des types utilisés pour médicaments, pains à cacheter, pâtes séchées de farine, d'amidon ou de fécule en feuilles et produits simil. (sauf pain croust</v>
      </c>
    </row>
    <row r="288" spans="1:4" x14ac:dyDescent="0.25">
      <c r="A288" t="str">
        <f>T("   ZZZ_Monde")</f>
        <v xml:space="preserve">   ZZZ_Monde</v>
      </c>
      <c r="B288" t="str">
        <f>T("   ZZZ_Monde")</f>
        <v xml:space="preserve">   ZZZ_Monde</v>
      </c>
      <c r="C288">
        <v>14575000</v>
      </c>
      <c r="D288">
        <v>59500</v>
      </c>
    </row>
    <row r="289" spans="1:4" x14ac:dyDescent="0.25">
      <c r="A289" t="str">
        <f>T("   CI")</f>
        <v xml:space="preserve">   CI</v>
      </c>
      <c r="B289" t="str">
        <f>T("   Côte d'Ivoire")</f>
        <v xml:space="preserve">   Côte d'Ivoire</v>
      </c>
      <c r="C289">
        <v>11000000</v>
      </c>
      <c r="D289">
        <v>56000</v>
      </c>
    </row>
    <row r="290" spans="1:4" x14ac:dyDescent="0.25">
      <c r="A290" t="str">
        <f>T("   TG")</f>
        <v xml:space="preserve">   TG</v>
      </c>
      <c r="B290" t="str">
        <f>T("   Togo")</f>
        <v xml:space="preserve">   Togo</v>
      </c>
      <c r="C290">
        <v>3575000</v>
      </c>
      <c r="D290">
        <v>3500</v>
      </c>
    </row>
    <row r="291" spans="1:4" x14ac:dyDescent="0.25">
      <c r="A291" t="str">
        <f>T("200600")</f>
        <v>200600</v>
      </c>
      <c r="B291" t="str">
        <f>T("Légumes, fruits, écorces de fruits et autres parties de plantes, confits au sucre [égouttés, glacés ou cristallisés]")</f>
        <v>Légumes, fruits, écorces de fruits et autres parties de plantes, confits au sucre [égouttés, glacés ou cristallisés]</v>
      </c>
    </row>
    <row r="292" spans="1:4" x14ac:dyDescent="0.25">
      <c r="A292" t="str">
        <f>T("   ZZZ_Monde")</f>
        <v xml:space="preserve">   ZZZ_Monde</v>
      </c>
      <c r="B292" t="str">
        <f>T("   ZZZ_Monde")</f>
        <v xml:space="preserve">   ZZZ_Monde</v>
      </c>
      <c r="C292">
        <v>80000</v>
      </c>
      <c r="D292">
        <v>1050</v>
      </c>
    </row>
    <row r="293" spans="1:4" x14ac:dyDescent="0.25">
      <c r="A293" t="str">
        <f>T("   GA")</f>
        <v xml:space="preserve">   GA</v>
      </c>
      <c r="B293" t="str">
        <f>T("   Gabon")</f>
        <v xml:space="preserve">   Gabon</v>
      </c>
      <c r="C293">
        <v>80000</v>
      </c>
      <c r="D293">
        <v>1050</v>
      </c>
    </row>
    <row r="294" spans="1:4" x14ac:dyDescent="0.25">
      <c r="A294" t="str">
        <f>T("200811")</f>
        <v>200811</v>
      </c>
      <c r="B294" t="str">
        <f>T("Arachides, préparées ou conservées (sauf confites au sucre)")</f>
        <v>Arachides, préparées ou conservées (sauf confites au sucre)</v>
      </c>
    </row>
    <row r="295" spans="1:4" x14ac:dyDescent="0.25">
      <c r="A295" t="str">
        <f>T("   ZZZ_Monde")</f>
        <v xml:space="preserve">   ZZZ_Monde</v>
      </c>
      <c r="B295" t="str">
        <f>T("   ZZZ_Monde")</f>
        <v xml:space="preserve">   ZZZ_Monde</v>
      </c>
      <c r="C295">
        <v>12000000</v>
      </c>
      <c r="D295">
        <v>60000</v>
      </c>
    </row>
    <row r="296" spans="1:4" x14ac:dyDescent="0.25">
      <c r="A296" t="str">
        <f>T("   VN")</f>
        <v xml:space="preserve">   VN</v>
      </c>
      <c r="B296" t="str">
        <f>T("   Vietnam")</f>
        <v xml:space="preserve">   Vietnam</v>
      </c>
      <c r="C296">
        <v>12000000</v>
      </c>
      <c r="D296">
        <v>60000</v>
      </c>
    </row>
    <row r="297" spans="1:4" x14ac:dyDescent="0.25">
      <c r="A297" t="str">
        <f>T("200939")</f>
        <v>200939</v>
      </c>
      <c r="B297" t="str">
        <f>T("JUS D'AGRUMES, NON-FERMENTÉS, SANS ADDITION D'ALCOOL, AVEC OU SANS ADDITION DE SUCRE OU D'AUTRES ÉDULCORANTS, D'UNE VALEUR BRIX &gt; 20 À 20°C (À L'EXCL. DES MÉLANGES AINSI QUE DES JUS D'ORANGE, DE PAMPLEMOUSSE OU DE POMELO)")</f>
        <v>JUS D'AGRUMES, NON-FERMENTÉS, SANS ADDITION D'ALCOOL, AVEC OU SANS ADDITION DE SUCRE OU D'AUTRES ÉDULCORANTS, D'UNE VALEUR BRIX &gt; 20 À 20°C (À L'EXCL. DES MÉLANGES AINSI QUE DES JUS D'ORANGE, DE PAMPLEMOUSSE OU DE POMELO)</v>
      </c>
    </row>
    <row r="298" spans="1:4" x14ac:dyDescent="0.25">
      <c r="A298" t="str">
        <f>T("   ZZZ_Monde")</f>
        <v xml:space="preserve">   ZZZ_Monde</v>
      </c>
      <c r="B298" t="str">
        <f>T("   ZZZ_Monde")</f>
        <v xml:space="preserve">   ZZZ_Monde</v>
      </c>
      <c r="C298">
        <v>2000000</v>
      </c>
      <c r="D298">
        <v>10000</v>
      </c>
    </row>
    <row r="299" spans="1:4" x14ac:dyDescent="0.25">
      <c r="A299" t="str">
        <f>T("   LY")</f>
        <v xml:space="preserve">   LY</v>
      </c>
      <c r="B299" t="str">
        <f>T("   Libyenne, Jamahiriya Arabe")</f>
        <v xml:space="preserve">   Libyenne, Jamahiriya Arabe</v>
      </c>
      <c r="C299">
        <v>2000000</v>
      </c>
      <c r="D299">
        <v>10000</v>
      </c>
    </row>
    <row r="300" spans="1:4" x14ac:dyDescent="0.25">
      <c r="A300" t="str">
        <f>T("200941")</f>
        <v>200941</v>
      </c>
      <c r="B300" t="str">
        <f>T("JUS D'ANANAS, NON-FERMENTÉS, SANS ADDITION D'ALCOOL, AVEC OU SANS ADDITION DE SUCRE OU D'AUTRES ÉDULCORANTS, D'UNE VALEUR BRIX &lt;= 20 À 20°C")</f>
        <v>JUS D'ANANAS, NON-FERMENTÉS, SANS ADDITION D'ALCOOL, AVEC OU SANS ADDITION DE SUCRE OU D'AUTRES ÉDULCORANTS, D'UNE VALEUR BRIX &lt;= 20 À 20°C</v>
      </c>
    </row>
    <row r="301" spans="1:4" x14ac:dyDescent="0.25">
      <c r="A301" t="str">
        <f>T("   ZZZ_Monde")</f>
        <v xml:space="preserve">   ZZZ_Monde</v>
      </c>
      <c r="B301" t="str">
        <f>T("   ZZZ_Monde")</f>
        <v xml:space="preserve">   ZZZ_Monde</v>
      </c>
      <c r="C301">
        <v>166867270</v>
      </c>
      <c r="D301">
        <v>592900</v>
      </c>
    </row>
    <row r="302" spans="1:4" x14ac:dyDescent="0.25">
      <c r="A302" t="str">
        <f>T("   BF")</f>
        <v xml:space="preserve">   BF</v>
      </c>
      <c r="B302" t="str">
        <f>T("   Burkina Faso")</f>
        <v xml:space="preserve">   Burkina Faso</v>
      </c>
      <c r="C302">
        <v>30078750</v>
      </c>
      <c r="D302">
        <v>112800</v>
      </c>
    </row>
    <row r="303" spans="1:4" x14ac:dyDescent="0.25">
      <c r="A303" t="str">
        <f>T("   GH")</f>
        <v xml:space="preserve">   GH</v>
      </c>
      <c r="B303" t="str">
        <f>T("   Ghana")</f>
        <v xml:space="preserve">   Ghana</v>
      </c>
      <c r="C303">
        <v>3420000</v>
      </c>
      <c r="D303">
        <v>15000</v>
      </c>
    </row>
    <row r="304" spans="1:4" x14ac:dyDescent="0.25">
      <c r="A304" t="str">
        <f>T("   ML")</f>
        <v xml:space="preserve">   ML</v>
      </c>
      <c r="B304" t="str">
        <f>T("   Mali")</f>
        <v xml:space="preserve">   Mali</v>
      </c>
      <c r="C304">
        <v>52325500</v>
      </c>
      <c r="D304">
        <v>237650</v>
      </c>
    </row>
    <row r="305" spans="1:4" x14ac:dyDescent="0.25">
      <c r="A305" t="str">
        <f>T("   NE")</f>
        <v xml:space="preserve">   NE</v>
      </c>
      <c r="B305" t="str">
        <f>T("   Niger")</f>
        <v xml:space="preserve">   Niger</v>
      </c>
      <c r="C305">
        <v>15501000</v>
      </c>
      <c r="D305">
        <v>62850</v>
      </c>
    </row>
    <row r="306" spans="1:4" x14ac:dyDescent="0.25">
      <c r="A306" t="str">
        <f>T("   NR")</f>
        <v xml:space="preserve">   NR</v>
      </c>
      <c r="B306" t="str">
        <f>T("   Nauru")</f>
        <v xml:space="preserve">   Nauru</v>
      </c>
      <c r="C306">
        <v>3520000</v>
      </c>
      <c r="D306">
        <v>24000</v>
      </c>
    </row>
    <row r="307" spans="1:4" x14ac:dyDescent="0.25">
      <c r="A307" t="str">
        <f>T("   SN")</f>
        <v xml:space="preserve">   SN</v>
      </c>
      <c r="B307" t="str">
        <f>T("   Sénégal")</f>
        <v xml:space="preserve">   Sénégal</v>
      </c>
      <c r="C307">
        <v>58830770</v>
      </c>
      <c r="D307">
        <v>128600</v>
      </c>
    </row>
    <row r="308" spans="1:4" x14ac:dyDescent="0.25">
      <c r="A308" t="str">
        <f>T("   TG")</f>
        <v xml:space="preserve">   TG</v>
      </c>
      <c r="B308" t="str">
        <f>T("   Togo")</f>
        <v xml:space="preserve">   Togo</v>
      </c>
      <c r="C308">
        <v>3191250</v>
      </c>
      <c r="D308">
        <v>12000</v>
      </c>
    </row>
    <row r="309" spans="1:4" x14ac:dyDescent="0.25">
      <c r="A309" t="str">
        <f>T("200949")</f>
        <v>200949</v>
      </c>
      <c r="B309" t="str">
        <f>T("JUS D'ANANAS, NON-FERMENTÉS, SANS ADDITION D'ALCOOL, AVEC OU SANS ADDITION DE SUCRE OU D'AUTRES ÉDULCORANTS, D'UNE VALEUR BRIX &gt; 20 À 20°C")</f>
        <v>JUS D'ANANAS, NON-FERMENTÉS, SANS ADDITION D'ALCOOL, AVEC OU SANS ADDITION DE SUCRE OU D'AUTRES ÉDULCORANTS, D'UNE VALEUR BRIX &gt; 20 À 20°C</v>
      </c>
    </row>
    <row r="310" spans="1:4" x14ac:dyDescent="0.25">
      <c r="A310" t="str">
        <f>T("   ZZZ_Monde")</f>
        <v xml:space="preserve">   ZZZ_Monde</v>
      </c>
      <c r="B310" t="str">
        <f>T("   ZZZ_Monde")</f>
        <v xml:space="preserve">   ZZZ_Monde</v>
      </c>
      <c r="C310">
        <v>62360000</v>
      </c>
      <c r="D310">
        <v>440500</v>
      </c>
    </row>
    <row r="311" spans="1:4" x14ac:dyDescent="0.25">
      <c r="A311" t="str">
        <f>T("   BF")</f>
        <v xml:space="preserve">   BF</v>
      </c>
      <c r="B311" t="str">
        <f>T("   Burkina Faso")</f>
        <v xml:space="preserve">   Burkina Faso</v>
      </c>
      <c r="C311">
        <v>49485000</v>
      </c>
      <c r="D311">
        <v>335500</v>
      </c>
    </row>
    <row r="312" spans="1:4" x14ac:dyDescent="0.25">
      <c r="A312" t="str">
        <f>T("   NE")</f>
        <v xml:space="preserve">   NE</v>
      </c>
      <c r="B312" t="str">
        <f>T("   Niger")</f>
        <v xml:space="preserve">   Niger</v>
      </c>
      <c r="C312">
        <v>12525000</v>
      </c>
      <c r="D312">
        <v>102200</v>
      </c>
    </row>
    <row r="313" spans="1:4" x14ac:dyDescent="0.25">
      <c r="A313" t="str">
        <f>T("   TG")</f>
        <v xml:space="preserve">   TG</v>
      </c>
      <c r="B313" t="str">
        <f>T("   Togo")</f>
        <v xml:space="preserve">   Togo</v>
      </c>
      <c r="C313">
        <v>350000</v>
      </c>
      <c r="D313">
        <v>2800</v>
      </c>
    </row>
    <row r="314" spans="1:4" x14ac:dyDescent="0.25">
      <c r="A314" t="str">
        <f>T("200980")</f>
        <v>200980</v>
      </c>
      <c r="B314" t="str">
        <f>T("JUS DE FRUITS OU DE LÉGUMES, NON-FERMENTÉS, SANS ADDITION D'ALCOOL, AVEC OU SANS ADDITION DE SUCRE OU D'AUTRES ÉDULCORANTS (À L'EXCL. DES MÉLANGES AINSI QUE DES JUS D'AGRUMES, D'ANANAS, DE TOMATE, DE RAISIN - Y.C. LES MOÛTS - ET DE POMME)")</f>
        <v>JUS DE FRUITS OU DE LÉGUMES, NON-FERMENTÉS, SANS ADDITION D'ALCOOL, AVEC OU SANS ADDITION DE SUCRE OU D'AUTRES ÉDULCORANTS (À L'EXCL. DES MÉLANGES AINSI QUE DES JUS D'AGRUMES, D'ANANAS, DE TOMATE, DE RAISIN - Y.C. LES MOÛTS - ET DE POMME)</v>
      </c>
    </row>
    <row r="315" spans="1:4" x14ac:dyDescent="0.25">
      <c r="A315" t="str">
        <f>T("   ZZZ_Monde")</f>
        <v xml:space="preserve">   ZZZ_Monde</v>
      </c>
      <c r="B315" t="str">
        <f>T("   ZZZ_Monde")</f>
        <v xml:space="preserve">   ZZZ_Monde</v>
      </c>
      <c r="C315">
        <v>4600000</v>
      </c>
      <c r="D315">
        <v>40000</v>
      </c>
    </row>
    <row r="316" spans="1:4" x14ac:dyDescent="0.25">
      <c r="A316" t="str">
        <f>T("   LY")</f>
        <v xml:space="preserve">   LY</v>
      </c>
      <c r="B316" t="str">
        <f>T("   Libyenne, Jamahiriya Arabe")</f>
        <v xml:space="preserve">   Libyenne, Jamahiriya Arabe</v>
      </c>
      <c r="C316">
        <v>4600000</v>
      </c>
      <c r="D316">
        <v>40000</v>
      </c>
    </row>
    <row r="317" spans="1:4" x14ac:dyDescent="0.25">
      <c r="A317" t="str">
        <f>T("210111")</f>
        <v>210111</v>
      </c>
      <c r="B317" t="str">
        <f>T("Extraits, essences et concentrés de café")</f>
        <v>Extraits, essences et concentrés de café</v>
      </c>
    </row>
    <row r="318" spans="1:4" x14ac:dyDescent="0.25">
      <c r="A318" t="str">
        <f>T("   ZZZ_Monde")</f>
        <v xml:space="preserve">   ZZZ_Monde</v>
      </c>
      <c r="B318" t="str">
        <f>T("   ZZZ_Monde")</f>
        <v xml:space="preserve">   ZZZ_Monde</v>
      </c>
      <c r="C318">
        <v>187943018</v>
      </c>
      <c r="D318">
        <v>167000</v>
      </c>
    </row>
    <row r="319" spans="1:4" x14ac:dyDescent="0.25">
      <c r="A319" t="str">
        <f>T("   GH")</f>
        <v xml:space="preserve">   GH</v>
      </c>
      <c r="B319" t="str">
        <f>T("   Ghana")</f>
        <v xml:space="preserve">   Ghana</v>
      </c>
      <c r="C319">
        <v>184443018</v>
      </c>
      <c r="D319">
        <v>137000</v>
      </c>
    </row>
    <row r="320" spans="1:4" x14ac:dyDescent="0.25">
      <c r="A320" t="str">
        <f>T("   LY")</f>
        <v xml:space="preserve">   LY</v>
      </c>
      <c r="B320" t="str">
        <f>T("   Libyenne, Jamahiriya Arabe")</f>
        <v xml:space="preserve">   Libyenne, Jamahiriya Arabe</v>
      </c>
      <c r="C320">
        <v>3500000</v>
      </c>
      <c r="D320">
        <v>30000</v>
      </c>
    </row>
    <row r="321" spans="1:4" x14ac:dyDescent="0.25">
      <c r="A321" t="str">
        <f>T("210410")</f>
        <v>210410</v>
      </c>
      <c r="B321" t="str">
        <f>T("Préparations pour soupes, potages ou bouillons; soupes, potages ou bouillons préparés")</f>
        <v>Préparations pour soupes, potages ou bouillons; soupes, potages ou bouillons préparés</v>
      </c>
    </row>
    <row r="322" spans="1:4" x14ac:dyDescent="0.25">
      <c r="A322" t="str">
        <f>T("   ZZZ_Monde")</f>
        <v xml:space="preserve">   ZZZ_Monde</v>
      </c>
      <c r="B322" t="str">
        <f>T("   ZZZ_Monde")</f>
        <v xml:space="preserve">   ZZZ_Monde</v>
      </c>
      <c r="C322">
        <v>2000000</v>
      </c>
      <c r="D322">
        <v>15000</v>
      </c>
    </row>
    <row r="323" spans="1:4" x14ac:dyDescent="0.25">
      <c r="A323" t="str">
        <f>T("   US")</f>
        <v xml:space="preserve">   US</v>
      </c>
      <c r="B323" t="str">
        <f>T("   Etats-Unis")</f>
        <v xml:space="preserve">   Etats-Unis</v>
      </c>
      <c r="C323">
        <v>2000000</v>
      </c>
      <c r="D323">
        <v>15000</v>
      </c>
    </row>
    <row r="324" spans="1:4" x14ac:dyDescent="0.25">
      <c r="A324" t="str">
        <f>T("210690")</f>
        <v>210690</v>
      </c>
      <c r="B324" t="str">
        <f>T("Préparations alimentaires, n.d.a.")</f>
        <v>Préparations alimentaires, n.d.a.</v>
      </c>
    </row>
    <row r="325" spans="1:4" x14ac:dyDescent="0.25">
      <c r="A325" t="str">
        <f>T("   ZZZ_Monde")</f>
        <v xml:space="preserve">   ZZZ_Monde</v>
      </c>
      <c r="B325" t="str">
        <f>T("   ZZZ_Monde")</f>
        <v xml:space="preserve">   ZZZ_Monde</v>
      </c>
      <c r="C325">
        <v>47268352</v>
      </c>
      <c r="D325">
        <v>1766</v>
      </c>
    </row>
    <row r="326" spans="1:4" x14ac:dyDescent="0.25">
      <c r="A326" t="str">
        <f>T("   TG")</f>
        <v xml:space="preserve">   TG</v>
      </c>
      <c r="B326" t="str">
        <f>T("   Togo")</f>
        <v xml:space="preserve">   Togo</v>
      </c>
      <c r="C326">
        <v>47268352</v>
      </c>
      <c r="D326">
        <v>1766</v>
      </c>
    </row>
    <row r="327" spans="1:4" x14ac:dyDescent="0.25">
      <c r="A327" t="str">
        <f>T("220110")</f>
        <v>220110</v>
      </c>
      <c r="B327" t="str">
        <f>T("Eaux minérales et eaux gazéifiées, non additionnées de sucre ou d'autres édulcorants ni aromatisées")</f>
        <v>Eaux minérales et eaux gazéifiées, non additionnées de sucre ou d'autres édulcorants ni aromatisées</v>
      </c>
    </row>
    <row r="328" spans="1:4" x14ac:dyDescent="0.25">
      <c r="A328" t="str">
        <f>T("   ZZZ_Monde")</f>
        <v xml:space="preserve">   ZZZ_Monde</v>
      </c>
      <c r="B328" t="str">
        <f>T("   ZZZ_Monde")</f>
        <v xml:space="preserve">   ZZZ_Monde</v>
      </c>
      <c r="C328">
        <v>95216735</v>
      </c>
      <c r="D328">
        <v>533312</v>
      </c>
    </row>
    <row r="329" spans="1:4" x14ac:dyDescent="0.25">
      <c r="A329" t="str">
        <f>T("   BF")</f>
        <v xml:space="preserve">   BF</v>
      </c>
      <c r="B329" t="str">
        <f>T("   Burkina Faso")</f>
        <v xml:space="preserve">   Burkina Faso</v>
      </c>
      <c r="C329">
        <v>24160403</v>
      </c>
      <c r="D329">
        <v>162000</v>
      </c>
    </row>
    <row r="330" spans="1:4" x14ac:dyDescent="0.25">
      <c r="A330" t="str">
        <f>T("   GH")</f>
        <v xml:space="preserve">   GH</v>
      </c>
      <c r="B330" t="str">
        <f>T("   Ghana")</f>
        <v xml:space="preserve">   Ghana</v>
      </c>
      <c r="C330">
        <v>10178565</v>
      </c>
      <c r="D330">
        <v>47078</v>
      </c>
    </row>
    <row r="331" spans="1:4" x14ac:dyDescent="0.25">
      <c r="A331" t="str">
        <f>T("   NE")</f>
        <v xml:space="preserve">   NE</v>
      </c>
      <c r="B331" t="str">
        <f>T("   Niger")</f>
        <v xml:space="preserve">   Niger</v>
      </c>
      <c r="C331">
        <v>6865746</v>
      </c>
      <c r="D331">
        <v>67100</v>
      </c>
    </row>
    <row r="332" spans="1:4" x14ac:dyDescent="0.25">
      <c r="A332" t="str">
        <f>T("   TG")</f>
        <v xml:space="preserve">   TG</v>
      </c>
      <c r="B332" t="str">
        <f>T("   Togo")</f>
        <v xml:space="preserve">   Togo</v>
      </c>
      <c r="C332">
        <v>54012021</v>
      </c>
      <c r="D332">
        <v>257134</v>
      </c>
    </row>
    <row r="333" spans="1:4" x14ac:dyDescent="0.25">
      <c r="A333" t="str">
        <f>T("220210")</f>
        <v>220210</v>
      </c>
      <c r="B333" t="str">
        <f>T("Eaux, y.c. les eaux minérales et les eaux gazéifiées, additionnées de sucre ou d'autres édulcorants ou aromatisées, directement consommables en l'état en tant que boissons")</f>
        <v>Eaux, y.c. les eaux minérales et les eaux gazéifiées, additionnées de sucre ou d'autres édulcorants ou aromatisées, directement consommables en l'état en tant que boissons</v>
      </c>
    </row>
    <row r="334" spans="1:4" x14ac:dyDescent="0.25">
      <c r="A334" t="str">
        <f>T("   ZZZ_Monde")</f>
        <v xml:space="preserve">   ZZZ_Monde</v>
      </c>
      <c r="B334" t="str">
        <f>T("   ZZZ_Monde")</f>
        <v xml:space="preserve">   ZZZ_Monde</v>
      </c>
      <c r="C334">
        <v>36727903</v>
      </c>
      <c r="D334">
        <v>93311</v>
      </c>
    </row>
    <row r="335" spans="1:4" x14ac:dyDescent="0.25">
      <c r="A335" t="str">
        <f>T("   GH")</f>
        <v xml:space="preserve">   GH</v>
      </c>
      <c r="B335" t="str">
        <f>T("   Ghana")</f>
        <v xml:space="preserve">   Ghana</v>
      </c>
      <c r="C335">
        <v>10640865</v>
      </c>
      <c r="D335">
        <v>26956</v>
      </c>
    </row>
    <row r="336" spans="1:4" x14ac:dyDescent="0.25">
      <c r="A336" t="str">
        <f>T("   TG")</f>
        <v xml:space="preserve">   TG</v>
      </c>
      <c r="B336" t="str">
        <f>T("   Togo")</f>
        <v xml:space="preserve">   Togo</v>
      </c>
      <c r="C336">
        <v>26087038</v>
      </c>
      <c r="D336">
        <v>66355</v>
      </c>
    </row>
    <row r="337" spans="1:4" x14ac:dyDescent="0.25">
      <c r="A337" t="str">
        <f>T("220290")</f>
        <v>220290</v>
      </c>
      <c r="B337" t="str">
        <f>T("BOISSONS NON-ALCOOLIQUES (À L'EXCL. DES EAUX, DES JUS DE FRUITS OU DE LÉGUMES AINSI QUE DU LAIT)")</f>
        <v>BOISSONS NON-ALCOOLIQUES (À L'EXCL. DES EAUX, DES JUS DE FRUITS OU DE LÉGUMES AINSI QUE DU LAIT)</v>
      </c>
    </row>
    <row r="338" spans="1:4" x14ac:dyDescent="0.25">
      <c r="A338" t="str">
        <f>T("   ZZZ_Monde")</f>
        <v xml:space="preserve">   ZZZ_Monde</v>
      </c>
      <c r="B338" t="str">
        <f>T("   ZZZ_Monde")</f>
        <v xml:space="preserve">   ZZZ_Monde</v>
      </c>
      <c r="C338">
        <v>3500000</v>
      </c>
      <c r="D338">
        <v>9500</v>
      </c>
    </row>
    <row r="339" spans="1:4" x14ac:dyDescent="0.25">
      <c r="A339" t="str">
        <f>T("   TG")</f>
        <v xml:space="preserve">   TG</v>
      </c>
      <c r="B339" t="str">
        <f>T("   Togo")</f>
        <v xml:space="preserve">   Togo</v>
      </c>
      <c r="C339">
        <v>3500000</v>
      </c>
      <c r="D339">
        <v>9500</v>
      </c>
    </row>
    <row r="340" spans="1:4" x14ac:dyDescent="0.25">
      <c r="A340" t="str">
        <f>T("220429")</f>
        <v>220429</v>
      </c>
      <c r="B340" t="str">
        <f>T("VINS DE RAISINS FRAIS, Y.C. LES VINS ENRICHIS EN ALCOOL, ET MOÛTS DE RAISINS DONT LA FERMENTATION A ÉTÉ EMPÊCHÉE OU ARRÊTÉE PAR ADDITION D'ALCOOL, EN RÉCIPIENTS D'UNE CONTENANCE &gt; 2 L (À L'EXCL. DES VINS MOUSSEUX)")</f>
        <v>VINS DE RAISINS FRAIS, Y.C. LES VINS ENRICHIS EN ALCOOL, ET MOÛTS DE RAISINS DONT LA FERMENTATION A ÉTÉ EMPÊCHÉE OU ARRÊTÉE PAR ADDITION D'ALCOOL, EN RÉCIPIENTS D'UNE CONTENANCE &gt; 2 L (À L'EXCL. DES VINS MOUSSEUX)</v>
      </c>
    </row>
    <row r="341" spans="1:4" x14ac:dyDescent="0.25">
      <c r="A341" t="str">
        <f>T("   ZZZ_Monde")</f>
        <v xml:space="preserve">   ZZZ_Monde</v>
      </c>
      <c r="B341" t="str">
        <f>T("   ZZZ_Monde")</f>
        <v xml:space="preserve">   ZZZ_Monde</v>
      </c>
      <c r="C341">
        <v>8485600</v>
      </c>
      <c r="D341">
        <v>13070</v>
      </c>
    </row>
    <row r="342" spans="1:4" x14ac:dyDescent="0.25">
      <c r="A342" t="str">
        <f>T("   CI")</f>
        <v xml:space="preserve">   CI</v>
      </c>
      <c r="B342" t="str">
        <f>T("   Côte d'Ivoire")</f>
        <v xml:space="preserve">   Côte d'Ivoire</v>
      </c>
      <c r="C342">
        <v>1245600</v>
      </c>
      <c r="D342">
        <v>450</v>
      </c>
    </row>
    <row r="343" spans="1:4" x14ac:dyDescent="0.25">
      <c r="A343" t="str">
        <f>T("   GA")</f>
        <v xml:space="preserve">   GA</v>
      </c>
      <c r="B343" t="str">
        <f>T("   Gabon")</f>
        <v xml:space="preserve">   Gabon</v>
      </c>
      <c r="C343">
        <v>7240000</v>
      </c>
      <c r="D343">
        <v>12620</v>
      </c>
    </row>
    <row r="344" spans="1:4" x14ac:dyDescent="0.25">
      <c r="A344" t="str">
        <f>T("220600")</f>
        <v>220600</v>
      </c>
      <c r="B344" t="str">
        <f>T("CIDRE, POIRÉ, HYDROMEL ET AUTRES BOISSONS FERMENTÉES; MÉLANGES DE BOISSONS FERMENTÉES ET MÉLANGES DE BOISSONS FERMENTÉES ET DE BOISSONS NON-ALCOOLIQUES, N.D.A. (À L'EXCL. DE LA BIÈRE, DES VINS DE RAISINS FRAIS, DES MOÛTS DE RAISINS AINSI QUE DES VERMOUTHS")</f>
        <v>CIDRE, POIRÉ, HYDROMEL ET AUTRES BOISSONS FERMENTÉES; MÉLANGES DE BOISSONS FERMENTÉES ET MÉLANGES DE BOISSONS FERMENTÉES ET DE BOISSONS NON-ALCOOLIQUES, N.D.A. (À L'EXCL. DE LA BIÈRE, DES VINS DE RAISINS FRAIS, DES MOÛTS DE RAISINS AINSI QUE DES VERMOUTHS</v>
      </c>
    </row>
    <row r="345" spans="1:4" x14ac:dyDescent="0.25">
      <c r="A345" t="str">
        <f>T("   ZZZ_Monde")</f>
        <v xml:space="preserve">   ZZZ_Monde</v>
      </c>
      <c r="B345" t="str">
        <f>T("   ZZZ_Monde")</f>
        <v xml:space="preserve">   ZZZ_Monde</v>
      </c>
      <c r="C345">
        <v>2749000</v>
      </c>
      <c r="D345">
        <v>8740</v>
      </c>
    </row>
    <row r="346" spans="1:4" x14ac:dyDescent="0.25">
      <c r="A346" t="str">
        <f>T("   CA")</f>
        <v xml:space="preserve">   CA</v>
      </c>
      <c r="B346" t="str">
        <f>T("   Canada")</f>
        <v xml:space="preserve">   Canada</v>
      </c>
      <c r="C346">
        <v>2394000</v>
      </c>
      <c r="D346">
        <v>360</v>
      </c>
    </row>
    <row r="347" spans="1:4" x14ac:dyDescent="0.25">
      <c r="A347" t="str">
        <f>T("   GA")</f>
        <v xml:space="preserve">   GA</v>
      </c>
      <c r="B347" t="str">
        <f>T("   Gabon")</f>
        <v xml:space="preserve">   Gabon</v>
      </c>
      <c r="C347">
        <v>355000</v>
      </c>
      <c r="D347">
        <v>8380</v>
      </c>
    </row>
    <row r="348" spans="1:4" x14ac:dyDescent="0.25">
      <c r="A348" t="str">
        <f>T("220890")</f>
        <v>220890</v>
      </c>
      <c r="B348" t="str">
        <f>T("ALCOOL ÉTHYLIQUE D'UN TITRE ALCOOMÉTRIQUE VOLUMIQUE &lt; 80% VOL, NON-DÉNATURÉ; EAUX-DE-VIE ET AUTRES BOISSONS SPIRITUEUSES (À L'EXCL. DES EAUX-DE-VIE DE VIN OU DE MARC DE RAISINS, DES WHISKIES, DU RHUM ET AUTRES EAUX-DE-VIE PROVENANT DE LA DISTILLATION APRÈ")</f>
        <v>ALCOOL ÉTHYLIQUE D'UN TITRE ALCOOMÉTRIQUE VOLUMIQUE &lt; 80% VOL, NON-DÉNATURÉ; EAUX-DE-VIE ET AUTRES BOISSONS SPIRITUEUSES (À L'EXCL. DES EAUX-DE-VIE DE VIN OU DE MARC DE RAISINS, DES WHISKIES, DU RHUM ET AUTRES EAUX-DE-VIE PROVENANT DE LA DISTILLATION APRÈ</v>
      </c>
    </row>
    <row r="349" spans="1:4" x14ac:dyDescent="0.25">
      <c r="A349" t="str">
        <f>T("   ZZZ_Monde")</f>
        <v xml:space="preserve">   ZZZ_Monde</v>
      </c>
      <c r="B349" t="str">
        <f>T("   ZZZ_Monde")</f>
        <v xml:space="preserve">   ZZZ_Monde</v>
      </c>
      <c r="C349">
        <v>56013650</v>
      </c>
      <c r="D349">
        <v>112820</v>
      </c>
    </row>
    <row r="350" spans="1:4" x14ac:dyDescent="0.25">
      <c r="A350" t="str">
        <f>T("   GA")</f>
        <v xml:space="preserve">   GA</v>
      </c>
      <c r="B350" t="str">
        <f>T("   Gabon")</f>
        <v xml:space="preserve">   Gabon</v>
      </c>
      <c r="C350">
        <v>650000</v>
      </c>
      <c r="D350">
        <v>5700</v>
      </c>
    </row>
    <row r="351" spans="1:4" x14ac:dyDescent="0.25">
      <c r="A351" t="str">
        <f>T("   NG")</f>
        <v xml:space="preserve">   NG</v>
      </c>
      <c r="B351" t="str">
        <f>T("   Nigéria")</f>
        <v xml:space="preserve">   Nigéria</v>
      </c>
      <c r="C351">
        <v>55363650</v>
      </c>
      <c r="D351">
        <v>107120</v>
      </c>
    </row>
    <row r="352" spans="1:4" x14ac:dyDescent="0.25">
      <c r="A352" t="str">
        <f>T("230230")</f>
        <v>230230</v>
      </c>
      <c r="B352" t="str">
        <f>T("Sons, remoulages et autres résidus, même agglomérés sous forme de pellets, du criblage, de la mouture ou d'autres traitements du froment")</f>
        <v>Sons, remoulages et autres résidus, même agglomérés sous forme de pellets, du criblage, de la mouture ou d'autres traitements du froment</v>
      </c>
    </row>
    <row r="353" spans="1:4" x14ac:dyDescent="0.25">
      <c r="A353" t="str">
        <f>T("   ZZZ_Monde")</f>
        <v xml:space="preserve">   ZZZ_Monde</v>
      </c>
      <c r="B353" t="str">
        <f>T("   ZZZ_Monde")</f>
        <v xml:space="preserve">   ZZZ_Monde</v>
      </c>
      <c r="C353">
        <v>707748041</v>
      </c>
      <c r="D353">
        <v>4951340</v>
      </c>
    </row>
    <row r="354" spans="1:4" x14ac:dyDescent="0.25">
      <c r="A354" t="str">
        <f>T("   NE")</f>
        <v xml:space="preserve">   NE</v>
      </c>
      <c r="B354" t="str">
        <f>T("   Niger")</f>
        <v xml:space="preserve">   Niger</v>
      </c>
      <c r="C354">
        <v>707748041</v>
      </c>
      <c r="D354">
        <v>4951340</v>
      </c>
    </row>
    <row r="355" spans="1:4" x14ac:dyDescent="0.25">
      <c r="A355" t="str">
        <f>T("230240")</f>
        <v>230240</v>
      </c>
      <c r="B355" t="str">
        <f>T("SONS, REMOULAGES ET AUTRES RÉSIDUS, MÊME AGGLOMÉRÉS SOUS FORME DE PELLETS, DU CRIBLAGE, DE LA MOUTURE OU D'AUTRES TRAITEMENTS DES CÉRÉALES (À L'EXCL. DU MAÏS OU DU FROMENT)")</f>
        <v>SONS, REMOULAGES ET AUTRES RÉSIDUS, MÊME AGGLOMÉRÉS SOUS FORME DE PELLETS, DU CRIBLAGE, DE LA MOUTURE OU D'AUTRES TRAITEMENTS DES CÉRÉALES (À L'EXCL. DU MAÏS OU DU FROMENT)</v>
      </c>
    </row>
    <row r="356" spans="1:4" x14ac:dyDescent="0.25">
      <c r="A356" t="str">
        <f>T("   ZZZ_Monde")</f>
        <v xml:space="preserve">   ZZZ_Monde</v>
      </c>
      <c r="B356" t="str">
        <f>T("   ZZZ_Monde")</f>
        <v xml:space="preserve">   ZZZ_Monde</v>
      </c>
      <c r="C356">
        <v>235000</v>
      </c>
      <c r="D356">
        <v>7550</v>
      </c>
    </row>
    <row r="357" spans="1:4" x14ac:dyDescent="0.25">
      <c r="A357" t="str">
        <f>T("   GA")</f>
        <v xml:space="preserve">   GA</v>
      </c>
      <c r="B357" t="str">
        <f>T("   Gabon")</f>
        <v xml:space="preserve">   Gabon</v>
      </c>
      <c r="C357">
        <v>235000</v>
      </c>
      <c r="D357">
        <v>7550</v>
      </c>
    </row>
    <row r="358" spans="1:4" x14ac:dyDescent="0.25">
      <c r="A358" t="str">
        <f>T("230400")</f>
        <v>230400</v>
      </c>
      <c r="B358" t="str">
        <f>T("Tourteaux et autres résidus solides, même broyés ou agglomérés sous forme de pellets, de l'extraction de l'huile de soja")</f>
        <v>Tourteaux et autres résidus solides, même broyés ou agglomérés sous forme de pellets, de l'extraction de l'huile de soja</v>
      </c>
    </row>
    <row r="359" spans="1:4" x14ac:dyDescent="0.25">
      <c r="A359" t="str">
        <f>T("   ZZZ_Monde")</f>
        <v xml:space="preserve">   ZZZ_Monde</v>
      </c>
      <c r="B359" t="str">
        <f>T("   ZZZ_Monde")</f>
        <v xml:space="preserve">   ZZZ_Monde</v>
      </c>
      <c r="C359">
        <v>2512927127</v>
      </c>
      <c r="D359">
        <v>6974274</v>
      </c>
    </row>
    <row r="360" spans="1:4" x14ac:dyDescent="0.25">
      <c r="A360" t="str">
        <f>T("   CD")</f>
        <v xml:space="preserve">   CD</v>
      </c>
      <c r="B360" t="str">
        <f>T("   Congo, République Démocratique")</f>
        <v xml:space="preserve">   Congo, République Démocratique</v>
      </c>
      <c r="C360">
        <v>7327540</v>
      </c>
      <c r="D360">
        <v>19283</v>
      </c>
    </row>
    <row r="361" spans="1:4" x14ac:dyDescent="0.25">
      <c r="A361" t="str">
        <f>T("   CI")</f>
        <v xml:space="preserve">   CI</v>
      </c>
      <c r="B361" t="str">
        <f>T("   Côte d'Ivoire")</f>
        <v xml:space="preserve">   Côte d'Ivoire</v>
      </c>
      <c r="C361">
        <v>1241506970</v>
      </c>
      <c r="D361">
        <v>3557755</v>
      </c>
    </row>
    <row r="362" spans="1:4" x14ac:dyDescent="0.25">
      <c r="A362" t="str">
        <f>T("   GH")</f>
        <v xml:space="preserve">   GH</v>
      </c>
      <c r="B362" t="str">
        <f>T("   Ghana")</f>
        <v xml:space="preserve">   Ghana</v>
      </c>
      <c r="C362">
        <v>1204686217</v>
      </c>
      <c r="D362">
        <v>3325216</v>
      </c>
    </row>
    <row r="363" spans="1:4" x14ac:dyDescent="0.25">
      <c r="A363" t="str">
        <f>T("   TG")</f>
        <v xml:space="preserve">   TG</v>
      </c>
      <c r="B363" t="str">
        <f>T("   Togo")</f>
        <v xml:space="preserve">   Togo</v>
      </c>
      <c r="C363">
        <v>59406400</v>
      </c>
      <c r="D363">
        <v>72020</v>
      </c>
    </row>
    <row r="364" spans="1:4" x14ac:dyDescent="0.25">
      <c r="A364" t="str">
        <f>T("230610")</f>
        <v>230610</v>
      </c>
      <c r="B364" t="str">
        <f>T("Tourteaux et autres résidus solides, même broyés ou agglomérés sous forme de pellets, de l'extraction des graisses ou huiles de coton")</f>
        <v>Tourteaux et autres résidus solides, même broyés ou agglomérés sous forme de pellets, de l'extraction des graisses ou huiles de coton</v>
      </c>
    </row>
    <row r="365" spans="1:4" x14ac:dyDescent="0.25">
      <c r="A365" t="str">
        <f>T("   ZZZ_Monde")</f>
        <v xml:space="preserve">   ZZZ_Monde</v>
      </c>
      <c r="B365" t="str">
        <f>T("   ZZZ_Monde")</f>
        <v xml:space="preserve">   ZZZ_Monde</v>
      </c>
      <c r="C365">
        <v>4003253332</v>
      </c>
      <c r="D365">
        <v>31935777</v>
      </c>
    </row>
    <row r="366" spans="1:4" x14ac:dyDescent="0.25">
      <c r="A366" t="str">
        <f>T("   CI")</f>
        <v xml:space="preserve">   CI</v>
      </c>
      <c r="B366" t="str">
        <f>T("   Côte d'Ivoire")</f>
        <v xml:space="preserve">   Côte d'Ivoire</v>
      </c>
      <c r="C366">
        <v>910071680</v>
      </c>
      <c r="D366">
        <v>6672354</v>
      </c>
    </row>
    <row r="367" spans="1:4" x14ac:dyDescent="0.25">
      <c r="A367" t="str">
        <f>T("   CN")</f>
        <v xml:space="preserve">   CN</v>
      </c>
      <c r="B367" t="str">
        <f>T("   Chine")</f>
        <v xml:space="preserve">   Chine</v>
      </c>
      <c r="C367">
        <v>2250000</v>
      </c>
      <c r="D367">
        <v>15000</v>
      </c>
    </row>
    <row r="368" spans="1:4" x14ac:dyDescent="0.25">
      <c r="A368" t="str">
        <f>T("   DE")</f>
        <v xml:space="preserve">   DE</v>
      </c>
      <c r="B368" t="str">
        <f>T("   Allemagne")</f>
        <v xml:space="preserve">   Allemagne</v>
      </c>
      <c r="C368">
        <v>799600</v>
      </c>
      <c r="D368">
        <v>39980</v>
      </c>
    </row>
    <row r="369" spans="1:4" x14ac:dyDescent="0.25">
      <c r="A369" t="str">
        <f>T("   GB")</f>
        <v xml:space="preserve">   GB</v>
      </c>
      <c r="B369" t="str">
        <f>T("   Royaume-Uni")</f>
        <v xml:space="preserve">   Royaume-Uni</v>
      </c>
      <c r="C369">
        <v>3094400</v>
      </c>
      <c r="D369">
        <v>154720</v>
      </c>
    </row>
    <row r="370" spans="1:4" x14ac:dyDescent="0.25">
      <c r="A370" t="str">
        <f>T("   GH")</f>
        <v xml:space="preserve">   GH</v>
      </c>
      <c r="B370" t="str">
        <f>T("   Ghana")</f>
        <v xml:space="preserve">   Ghana</v>
      </c>
      <c r="C370">
        <v>526210000</v>
      </c>
      <c r="D370">
        <v>3322908</v>
      </c>
    </row>
    <row r="371" spans="1:4" x14ac:dyDescent="0.25">
      <c r="A371" t="str">
        <f>T("   IN")</f>
        <v xml:space="preserve">   IN</v>
      </c>
      <c r="B371" t="str">
        <f>T("   Inde")</f>
        <v xml:space="preserve">   Inde</v>
      </c>
      <c r="C371">
        <v>235820506</v>
      </c>
      <c r="D371">
        <v>2587602</v>
      </c>
    </row>
    <row r="372" spans="1:4" x14ac:dyDescent="0.25">
      <c r="A372" t="str">
        <f>T("   MR")</f>
        <v xml:space="preserve">   MR</v>
      </c>
      <c r="B372" t="str">
        <f>T("   Mauritanie")</f>
        <v xml:space="preserve">   Mauritanie</v>
      </c>
      <c r="C372">
        <v>54798964</v>
      </c>
      <c r="D372">
        <v>340980</v>
      </c>
    </row>
    <row r="373" spans="1:4" x14ac:dyDescent="0.25">
      <c r="A373" t="str">
        <f>T("   NL")</f>
        <v xml:space="preserve">   NL</v>
      </c>
      <c r="B373" t="str">
        <f>T("   Pays-bas")</f>
        <v xml:space="preserve">   Pays-bas</v>
      </c>
      <c r="C373">
        <v>3128400</v>
      </c>
      <c r="D373">
        <v>156420</v>
      </c>
    </row>
    <row r="374" spans="1:4" x14ac:dyDescent="0.25">
      <c r="A374" t="str">
        <f>T("   PT")</f>
        <v xml:space="preserve">   PT</v>
      </c>
      <c r="B374" t="str">
        <f>T("   Portugal")</f>
        <v xml:space="preserve">   Portugal</v>
      </c>
      <c r="C374">
        <v>890637931</v>
      </c>
      <c r="D374">
        <v>7328398</v>
      </c>
    </row>
    <row r="375" spans="1:4" x14ac:dyDescent="0.25">
      <c r="A375" t="str">
        <f>T("   SN")</f>
        <v xml:space="preserve">   SN</v>
      </c>
      <c r="B375" t="str">
        <f>T("   Sénégal")</f>
        <v xml:space="preserve">   Sénégal</v>
      </c>
      <c r="C375">
        <v>2000000</v>
      </c>
      <c r="D375">
        <v>5000</v>
      </c>
    </row>
    <row r="376" spans="1:4" x14ac:dyDescent="0.25">
      <c r="A376" t="str">
        <f>T("   TG")</f>
        <v xml:space="preserve">   TG</v>
      </c>
      <c r="B376" t="str">
        <f>T("   Togo")</f>
        <v xml:space="preserve">   Togo</v>
      </c>
      <c r="C376">
        <v>163880300</v>
      </c>
      <c r="D376">
        <v>1136924</v>
      </c>
    </row>
    <row r="377" spans="1:4" x14ac:dyDescent="0.25">
      <c r="A377" t="str">
        <f>T("   ZA")</f>
        <v xml:space="preserve">   ZA</v>
      </c>
      <c r="B377" t="str">
        <f>T("   Afrique du Sud")</f>
        <v xml:space="preserve">   Afrique du Sud</v>
      </c>
      <c r="C377">
        <v>1210561551</v>
      </c>
      <c r="D377">
        <v>10175491</v>
      </c>
    </row>
    <row r="378" spans="1:4" x14ac:dyDescent="0.25">
      <c r="A378" t="str">
        <f>T("230649")</f>
        <v>230649</v>
      </c>
      <c r="B378" t="str">
        <f>T("TOURTEAUX ET AUTRES RÉSIDUS SOLIDES, MÊME BROYÉS OU AGGLOMÉRÉS SOUS FORME DE PELLETS, DE L'EXTRACTION DES GRAISSES OU HUILES DE NAVETTE OU DE COLZA D'UNE TENEUR ÉLEVÉE EN ACIDE ÉRUCIQUE 'FOURNISSANT UNE HUILE FIXE DONT LA TENEUR EN ACIDE ÉRUCIQUE EST &gt;= 2")</f>
        <v>TOURTEAUX ET AUTRES RÉSIDUS SOLIDES, MÊME BROYÉS OU AGGLOMÉRÉS SOUS FORME DE PELLETS, DE L'EXTRACTION DES GRAISSES OU HUILES DE NAVETTE OU DE COLZA D'UNE TENEUR ÉLEVÉE EN ACIDE ÉRUCIQUE 'FOURNISSANT UNE HUILE FIXE DONT LA TENEUR EN ACIDE ÉRUCIQUE EST &gt;= 2</v>
      </c>
    </row>
    <row r="379" spans="1:4" x14ac:dyDescent="0.25">
      <c r="A379" t="str">
        <f>T("   ZZZ_Monde")</f>
        <v xml:space="preserve">   ZZZ_Monde</v>
      </c>
      <c r="B379" t="str">
        <f>T("   ZZZ_Monde")</f>
        <v xml:space="preserve">   ZZZ_Monde</v>
      </c>
      <c r="C379">
        <v>23250000</v>
      </c>
      <c r="D379">
        <v>75000</v>
      </c>
    </row>
    <row r="380" spans="1:4" x14ac:dyDescent="0.25">
      <c r="A380" t="str">
        <f>T("   GH")</f>
        <v xml:space="preserve">   GH</v>
      </c>
      <c r="B380" t="str">
        <f>T("   Ghana")</f>
        <v xml:space="preserve">   Ghana</v>
      </c>
      <c r="C380">
        <v>21000000</v>
      </c>
      <c r="D380">
        <v>60000</v>
      </c>
    </row>
    <row r="381" spans="1:4" x14ac:dyDescent="0.25">
      <c r="A381" t="str">
        <f>T("   PT")</f>
        <v xml:space="preserve">   PT</v>
      </c>
      <c r="B381" t="str">
        <f>T("   Portugal")</f>
        <v xml:space="preserve">   Portugal</v>
      </c>
      <c r="C381">
        <v>2250000</v>
      </c>
      <c r="D381">
        <v>15000</v>
      </c>
    </row>
    <row r="382" spans="1:4" x14ac:dyDescent="0.25">
      <c r="A382" t="str">
        <f>T("230690")</f>
        <v>230690</v>
      </c>
      <c r="B382" t="str">
        <f>T("Tourteaux et autres résidus solides, même broyés ou agglomérés sous forme de pellets, de l'extraction de graisses ou huiles végétales (à l'excl. des tourteaux et autres résidus solides de l'extraction des graisses ou huiles de soja, d'arachide, de coton,")</f>
        <v>Tourteaux et autres résidus solides, même broyés ou agglomérés sous forme de pellets, de l'extraction de graisses ou huiles végétales (à l'excl. des tourteaux et autres résidus solides de l'extraction des graisses ou huiles de soja, d'arachide, de coton,</v>
      </c>
    </row>
    <row r="383" spans="1:4" x14ac:dyDescent="0.25">
      <c r="A383" t="str">
        <f>T("   ZZZ_Monde")</f>
        <v xml:space="preserve">   ZZZ_Monde</v>
      </c>
      <c r="B383" t="str">
        <f>T("   ZZZ_Monde")</f>
        <v xml:space="preserve">   ZZZ_Monde</v>
      </c>
      <c r="C383">
        <v>107522810</v>
      </c>
      <c r="D383">
        <v>1887511</v>
      </c>
    </row>
    <row r="384" spans="1:4" x14ac:dyDescent="0.25">
      <c r="A384" t="str">
        <f>T("   ZA")</f>
        <v xml:space="preserve">   ZA</v>
      </c>
      <c r="B384" t="str">
        <f>T("   Afrique du Sud")</f>
        <v xml:space="preserve">   Afrique du Sud</v>
      </c>
      <c r="C384">
        <v>107522810</v>
      </c>
      <c r="D384">
        <v>1887511</v>
      </c>
    </row>
    <row r="385" spans="1:4" x14ac:dyDescent="0.25">
      <c r="A385" t="str">
        <f>T("240220")</f>
        <v>240220</v>
      </c>
      <c r="B385" t="str">
        <f>T("Cigarettes contenant du tabac")</f>
        <v>Cigarettes contenant du tabac</v>
      </c>
    </row>
    <row r="386" spans="1:4" x14ac:dyDescent="0.25">
      <c r="A386" t="str">
        <f>T("   ZZZ_Monde")</f>
        <v xml:space="preserve">   ZZZ_Monde</v>
      </c>
      <c r="B386" t="str">
        <f>T("   ZZZ_Monde")</f>
        <v xml:space="preserve">   ZZZ_Monde</v>
      </c>
      <c r="C386">
        <v>322250000</v>
      </c>
      <c r="D386">
        <v>53528</v>
      </c>
    </row>
    <row r="387" spans="1:4" x14ac:dyDescent="0.25">
      <c r="A387" t="str">
        <f>T("   BE")</f>
        <v xml:space="preserve">   BE</v>
      </c>
      <c r="B387" t="str">
        <f>T("   Belgique")</f>
        <v xml:space="preserve">   Belgique</v>
      </c>
      <c r="C387">
        <v>20000000</v>
      </c>
      <c r="D387">
        <v>30278</v>
      </c>
    </row>
    <row r="388" spans="1:4" x14ac:dyDescent="0.25">
      <c r="A388" t="str">
        <f>T("   TG")</f>
        <v xml:space="preserve">   TG</v>
      </c>
      <c r="B388" t="str">
        <f>T("   Togo")</f>
        <v xml:space="preserve">   Togo</v>
      </c>
      <c r="C388">
        <v>302250000</v>
      </c>
      <c r="D388">
        <v>23250</v>
      </c>
    </row>
    <row r="389" spans="1:4" x14ac:dyDescent="0.25">
      <c r="A389" t="str">
        <f>T("240290")</f>
        <v>240290</v>
      </c>
      <c r="B389" t="str">
        <f>T("Cigares, cigarillos et cigarettes, en succédanés du tabac")</f>
        <v>Cigares, cigarillos et cigarettes, en succédanés du tabac</v>
      </c>
    </row>
    <row r="390" spans="1:4" x14ac:dyDescent="0.25">
      <c r="A390" t="str">
        <f>T("   ZZZ_Monde")</f>
        <v xml:space="preserve">   ZZZ_Monde</v>
      </c>
      <c r="B390" t="str">
        <f>T("   ZZZ_Monde")</f>
        <v xml:space="preserve">   ZZZ_Monde</v>
      </c>
      <c r="C390">
        <v>12000000</v>
      </c>
      <c r="D390">
        <v>64125</v>
      </c>
    </row>
    <row r="391" spans="1:4" x14ac:dyDescent="0.25">
      <c r="A391" t="str">
        <f>T("   BE")</f>
        <v xml:space="preserve">   BE</v>
      </c>
      <c r="B391" t="str">
        <f>T("   Belgique")</f>
        <v xml:space="preserve">   Belgique</v>
      </c>
      <c r="C391">
        <v>12000000</v>
      </c>
      <c r="D391">
        <v>64125</v>
      </c>
    </row>
    <row r="392" spans="1:4" x14ac:dyDescent="0.25">
      <c r="A392" t="str">
        <f>T("251520")</f>
        <v>251520</v>
      </c>
      <c r="B392" t="str">
        <f>T("Ecaussines et autres pierres calcaires de taille ou de construction, d'une densité apparente &gt;= 2,5, et albâtre, même dégrossis ou simplement débités, par sciage ou autrement, en blocs ou en plaques de forme carrée ou rectangulaire (à l'excl. des marbres")</f>
        <v>Ecaussines et autres pierres calcaires de taille ou de construction, d'une densité apparente &gt;= 2,5, et albâtre, même dégrossis ou simplement débités, par sciage ou autrement, en blocs ou en plaques de forme carrée ou rectangulaire (à l'excl. des marbres</v>
      </c>
    </row>
    <row r="393" spans="1:4" x14ac:dyDescent="0.25">
      <c r="A393" t="str">
        <f>T("   ZZZ_Monde")</f>
        <v xml:space="preserve">   ZZZ_Monde</v>
      </c>
      <c r="B393" t="str">
        <f>T("   ZZZ_Monde")</f>
        <v xml:space="preserve">   ZZZ_Monde</v>
      </c>
      <c r="C393">
        <v>1442116900</v>
      </c>
      <c r="D393">
        <v>132930000</v>
      </c>
    </row>
    <row r="394" spans="1:4" x14ac:dyDescent="0.25">
      <c r="A394" t="str">
        <f>T("   GH")</f>
        <v xml:space="preserve">   GH</v>
      </c>
      <c r="B394" t="str">
        <f>T("   Ghana")</f>
        <v xml:space="preserve">   Ghana</v>
      </c>
      <c r="C394">
        <v>177642360</v>
      </c>
      <c r="D394">
        <v>15715000</v>
      </c>
    </row>
    <row r="395" spans="1:4" x14ac:dyDescent="0.25">
      <c r="A395" t="str">
        <f>T("   TG")</f>
        <v xml:space="preserve">   TG</v>
      </c>
      <c r="B395" t="str">
        <f>T("   Togo")</f>
        <v xml:space="preserve">   Togo</v>
      </c>
      <c r="C395">
        <v>1264474540</v>
      </c>
      <c r="D395">
        <v>117215000</v>
      </c>
    </row>
    <row r="396" spans="1:4" x14ac:dyDescent="0.25">
      <c r="A396" t="str">
        <f>T("251690")</f>
        <v>251690</v>
      </c>
      <c r="B396" t="str">
        <f>T("Porphyre, basalte et autres pierres de taille ou de construction, même dégrossis ou simplement débités, en blocs ou en plaques de forme carrée ou rectangulaire (sauf granit, grès, pierres présentées sous la forme de granulés, d'éclats ou de poudres, pierr")</f>
        <v>Porphyre, basalte et autres pierres de taille ou de construction, même dégrossis ou simplement débités, en blocs ou en plaques de forme carrée ou rectangulaire (sauf granit, grès, pierres présentées sous la forme de granulés, d'éclats ou de poudres, pierr</v>
      </c>
    </row>
    <row r="397" spans="1:4" x14ac:dyDescent="0.25">
      <c r="A397" t="str">
        <f>T("   ZZZ_Monde")</f>
        <v xml:space="preserve">   ZZZ_Monde</v>
      </c>
      <c r="B397" t="str">
        <f>T("   ZZZ_Monde")</f>
        <v xml:space="preserve">   ZZZ_Monde</v>
      </c>
      <c r="C397">
        <v>7500000</v>
      </c>
      <c r="D397">
        <v>25000</v>
      </c>
    </row>
    <row r="398" spans="1:4" x14ac:dyDescent="0.25">
      <c r="A398" t="str">
        <f>T("   IT")</f>
        <v xml:space="preserve">   IT</v>
      </c>
      <c r="B398" t="str">
        <f>T("   Italie")</f>
        <v xml:space="preserve">   Italie</v>
      </c>
      <c r="C398">
        <v>7500000</v>
      </c>
      <c r="D398">
        <v>25000</v>
      </c>
    </row>
    <row r="399" spans="1:4" x14ac:dyDescent="0.25">
      <c r="A399" t="str">
        <f>T("251710")</f>
        <v>251710</v>
      </c>
      <c r="B399" t="str">
        <f>T("Cailloux, graviers, pierres concassées, des types généralement utilisés pour le bétonnage ou pour l'empierrement des routes, des voies ferrées ou autres ballasts, galets et silex, même traités thermiquement")</f>
        <v>Cailloux, graviers, pierres concassées, des types généralement utilisés pour le bétonnage ou pour l'empierrement des routes, des voies ferrées ou autres ballasts, galets et silex, même traités thermiquement</v>
      </c>
    </row>
    <row r="400" spans="1:4" x14ac:dyDescent="0.25">
      <c r="A400" t="str">
        <f>T("   ZZZ_Monde")</f>
        <v xml:space="preserve">   ZZZ_Monde</v>
      </c>
      <c r="B400" t="str">
        <f>T("   ZZZ_Monde")</f>
        <v xml:space="preserve">   ZZZ_Monde</v>
      </c>
      <c r="C400">
        <v>2000000</v>
      </c>
      <c r="D400">
        <v>1103</v>
      </c>
    </row>
    <row r="401" spans="1:4" x14ac:dyDescent="0.25">
      <c r="A401" t="str">
        <f>T("   FR")</f>
        <v xml:space="preserve">   FR</v>
      </c>
      <c r="B401" t="str">
        <f>T("   France")</f>
        <v xml:space="preserve">   France</v>
      </c>
      <c r="C401">
        <v>2000000</v>
      </c>
      <c r="D401">
        <v>1103</v>
      </c>
    </row>
    <row r="402" spans="1:4" x14ac:dyDescent="0.25">
      <c r="A402" t="str">
        <f>T("252310")</f>
        <v>252310</v>
      </c>
      <c r="B402" t="str">
        <f>T("Ciments non pulvérisés dits 'clinkers'")</f>
        <v>Ciments non pulvérisés dits 'clinkers'</v>
      </c>
    </row>
    <row r="403" spans="1:4" x14ac:dyDescent="0.25">
      <c r="A403" t="str">
        <f>T("   ZZZ_Monde")</f>
        <v xml:space="preserve">   ZZZ_Monde</v>
      </c>
      <c r="B403" t="str">
        <f>T("   ZZZ_Monde")</f>
        <v xml:space="preserve">   ZZZ_Monde</v>
      </c>
      <c r="C403">
        <v>1080000000</v>
      </c>
      <c r="D403">
        <v>15000000</v>
      </c>
    </row>
    <row r="404" spans="1:4" x14ac:dyDescent="0.25">
      <c r="A404" t="str">
        <f>T("   NE")</f>
        <v xml:space="preserve">   NE</v>
      </c>
      <c r="B404" t="str">
        <f>T("   Niger")</f>
        <v xml:space="preserve">   Niger</v>
      </c>
      <c r="C404">
        <v>1080000000</v>
      </c>
      <c r="D404">
        <v>15000000</v>
      </c>
    </row>
    <row r="405" spans="1:4" x14ac:dyDescent="0.25">
      <c r="A405" t="str">
        <f>T("252329")</f>
        <v>252329</v>
      </c>
      <c r="B405" t="str">
        <f>T("Ciment Portland normal ou modéré (à l'excl. des ciments Portland blancs, même colorés artificiellement)")</f>
        <v>Ciment Portland normal ou modéré (à l'excl. des ciments Portland blancs, même colorés artificiellement)</v>
      </c>
    </row>
    <row r="406" spans="1:4" x14ac:dyDescent="0.25">
      <c r="A406" t="str">
        <f>T("   ZZZ_Monde")</f>
        <v xml:space="preserve">   ZZZ_Monde</v>
      </c>
      <c r="B406" t="str">
        <f>T("   ZZZ_Monde")</f>
        <v xml:space="preserve">   ZZZ_Monde</v>
      </c>
      <c r="C406">
        <v>1595383260</v>
      </c>
      <c r="D406">
        <v>23844000</v>
      </c>
    </row>
    <row r="407" spans="1:4" x14ac:dyDescent="0.25">
      <c r="A407" t="str">
        <f>T("   GQ")</f>
        <v xml:space="preserve">   GQ</v>
      </c>
      <c r="B407" t="str">
        <f>T("   Guinée Equatoriale")</f>
        <v xml:space="preserve">   Guinée Equatoriale</v>
      </c>
      <c r="C407">
        <v>70000000</v>
      </c>
      <c r="D407">
        <v>2000000</v>
      </c>
    </row>
    <row r="408" spans="1:4" x14ac:dyDescent="0.25">
      <c r="A408" t="str">
        <f>T("   NE")</f>
        <v xml:space="preserve">   NE</v>
      </c>
      <c r="B408" t="str">
        <f>T("   Niger")</f>
        <v xml:space="preserve">   Niger</v>
      </c>
      <c r="C408">
        <v>1525383260</v>
      </c>
      <c r="D408">
        <v>21844000</v>
      </c>
    </row>
    <row r="409" spans="1:4" x14ac:dyDescent="0.25">
      <c r="A409" t="str">
        <f>T("253090")</f>
        <v>253090</v>
      </c>
      <c r="B409" t="str">
        <f>T("Sulfures d'arsenic, alunite, terre de pouzzolane, terres colorantes et autres matières minérales, n.d.a.")</f>
        <v>Sulfures d'arsenic, alunite, terre de pouzzolane, terres colorantes et autres matières minérales, n.d.a.</v>
      </c>
    </row>
    <row r="410" spans="1:4" x14ac:dyDescent="0.25">
      <c r="A410" t="str">
        <f>T("   ZZZ_Monde")</f>
        <v xml:space="preserve">   ZZZ_Monde</v>
      </c>
      <c r="B410" t="str">
        <f>T("   ZZZ_Monde")</f>
        <v xml:space="preserve">   ZZZ_Monde</v>
      </c>
      <c r="C410">
        <v>1005000</v>
      </c>
      <c r="D410">
        <v>200</v>
      </c>
    </row>
    <row r="411" spans="1:4" x14ac:dyDescent="0.25">
      <c r="A411" t="str">
        <f>T("   TG")</f>
        <v xml:space="preserve">   TG</v>
      </c>
      <c r="B411" t="str">
        <f>T("   Togo")</f>
        <v xml:space="preserve">   Togo</v>
      </c>
      <c r="C411">
        <v>1005000</v>
      </c>
      <c r="D411">
        <v>200</v>
      </c>
    </row>
    <row r="412" spans="1:4" x14ac:dyDescent="0.25">
      <c r="A412" t="str">
        <f>T("271019")</f>
        <v>271019</v>
      </c>
      <c r="B412" t="str">
        <f>T("Huiles moyennes et préparations, de pétrole ou de minéraux bitumineux, n.d.a.")</f>
        <v>Huiles moyennes et préparations, de pétrole ou de minéraux bitumineux, n.d.a.</v>
      </c>
    </row>
    <row r="413" spans="1:4" x14ac:dyDescent="0.25">
      <c r="A413" t="str">
        <f>T("   ZZZ_Monde")</f>
        <v xml:space="preserve">   ZZZ_Monde</v>
      </c>
      <c r="B413" t="str">
        <f>T("   ZZZ_Monde")</f>
        <v xml:space="preserve">   ZZZ_Monde</v>
      </c>
      <c r="C413">
        <v>3790090</v>
      </c>
      <c r="D413">
        <v>1424</v>
      </c>
    </row>
    <row r="414" spans="1:4" x14ac:dyDescent="0.25">
      <c r="A414" t="str">
        <f>T("   TG")</f>
        <v xml:space="preserve">   TG</v>
      </c>
      <c r="B414" t="str">
        <f>T("   Togo")</f>
        <v xml:space="preserve">   Togo</v>
      </c>
      <c r="C414">
        <v>3790090</v>
      </c>
      <c r="D414">
        <v>1424</v>
      </c>
    </row>
    <row r="415" spans="1:4" x14ac:dyDescent="0.25">
      <c r="A415" t="str">
        <f>T("283650")</f>
        <v>283650</v>
      </c>
      <c r="B415" t="str">
        <f>T("Carbonate de calcium")</f>
        <v>Carbonate de calcium</v>
      </c>
    </row>
    <row r="416" spans="1:4" x14ac:dyDescent="0.25">
      <c r="A416" t="str">
        <f>T("   ZZZ_Monde")</f>
        <v xml:space="preserve">   ZZZ_Monde</v>
      </c>
      <c r="B416" t="str">
        <f>T("   ZZZ_Monde")</f>
        <v xml:space="preserve">   ZZZ_Monde</v>
      </c>
      <c r="C416">
        <v>18955092</v>
      </c>
      <c r="D416">
        <v>81600</v>
      </c>
    </row>
    <row r="417" spans="1:4" x14ac:dyDescent="0.25">
      <c r="A417" t="str">
        <f>T("   CN")</f>
        <v xml:space="preserve">   CN</v>
      </c>
      <c r="B417" t="str">
        <f>T("   Chine")</f>
        <v xml:space="preserve">   Chine</v>
      </c>
      <c r="C417">
        <v>18955092</v>
      </c>
      <c r="D417">
        <v>81600</v>
      </c>
    </row>
    <row r="418" spans="1:4" x14ac:dyDescent="0.25">
      <c r="A418" t="str">
        <f>T("300410")</f>
        <v>300410</v>
      </c>
      <c r="B418" t="str">
        <f>T("Médicaments contenant des pénicillines ou des dérivés de ces produits, à structure d'acide pénicillanique, ou des streptomycines ou des dérivés de ces produits, présentés sous forme de doses [y.c. ceux destinés à être administrés par voie percutanée] ou c")</f>
        <v>Médicaments contenant des pénicillines ou des dérivés de ces produits, à structure d'acide pénicillanique, ou des streptomycines ou des dérivés de ces produits, présentés sous forme de doses [y.c. ceux destinés à être administrés par voie percutanée] ou c</v>
      </c>
    </row>
    <row r="419" spans="1:4" x14ac:dyDescent="0.25">
      <c r="A419" t="str">
        <f>T("   ZZZ_Monde")</f>
        <v xml:space="preserve">   ZZZ_Monde</v>
      </c>
      <c r="B419" t="str">
        <f>T("   ZZZ_Monde")</f>
        <v xml:space="preserve">   ZZZ_Monde</v>
      </c>
      <c r="C419">
        <v>96823981</v>
      </c>
      <c r="D419">
        <v>31983.5</v>
      </c>
    </row>
    <row r="420" spans="1:4" x14ac:dyDescent="0.25">
      <c r="A420" t="str">
        <f>T("   CI")</f>
        <v xml:space="preserve">   CI</v>
      </c>
      <c r="B420" t="str">
        <f>T("   Côte d'Ivoire")</f>
        <v xml:space="preserve">   Côte d'Ivoire</v>
      </c>
      <c r="C420">
        <v>91627856</v>
      </c>
      <c r="D420">
        <v>17791.75</v>
      </c>
    </row>
    <row r="421" spans="1:4" x14ac:dyDescent="0.25">
      <c r="A421" t="str">
        <f>T("   TG")</f>
        <v xml:space="preserve">   TG</v>
      </c>
      <c r="B421" t="str">
        <f>T("   Togo")</f>
        <v xml:space="preserve">   Togo</v>
      </c>
      <c r="C421">
        <v>5196125</v>
      </c>
      <c r="D421">
        <v>14191.75</v>
      </c>
    </row>
    <row r="422" spans="1:4" x14ac:dyDescent="0.25">
      <c r="A422" t="str">
        <f>T("300420")</f>
        <v>300420</v>
      </c>
      <c r="B422" t="str">
        <f>T("Médicaments contenant des antibiotiques, présentés sous forme de doses [y.c. ceux destinés à être administrés par voie percutanée] ou conditionnés pour la vente au détail (à l'excl. des produits contenant des pénicillines ou des dérivés de ces produits, à")</f>
        <v>Médicaments contenant des antibiotiques, présentés sous forme de doses [y.c. ceux destinés à être administrés par voie percutanée] ou conditionnés pour la vente au détail (à l'excl. des produits contenant des pénicillines ou des dérivés de ces produits, à</v>
      </c>
    </row>
    <row r="423" spans="1:4" x14ac:dyDescent="0.25">
      <c r="A423" t="str">
        <f>T("   ZZZ_Monde")</f>
        <v xml:space="preserve">   ZZZ_Monde</v>
      </c>
      <c r="B423" t="str">
        <f>T("   ZZZ_Monde")</f>
        <v xml:space="preserve">   ZZZ_Monde</v>
      </c>
      <c r="C423">
        <v>4357000</v>
      </c>
      <c r="D423">
        <v>423</v>
      </c>
    </row>
    <row r="424" spans="1:4" x14ac:dyDescent="0.25">
      <c r="A424" t="str">
        <f>T("   TG")</f>
        <v xml:space="preserve">   TG</v>
      </c>
      <c r="B424" t="str">
        <f>T("   Togo")</f>
        <v xml:space="preserve">   Togo</v>
      </c>
      <c r="C424">
        <v>4357000</v>
      </c>
      <c r="D424">
        <v>423</v>
      </c>
    </row>
    <row r="425" spans="1:4" x14ac:dyDescent="0.25">
      <c r="A425" t="str">
        <f>T("300490")</f>
        <v>300490</v>
      </c>
      <c r="B425" t="str">
        <f>T("Médicaments constitués par des produits mélangés ou non, préparés à des fins thérapeutiques ou prophylactiques, présentés sous forme de doses [y.c. ceux destinés à être administrés par voie percutanée] ou conditionnés pour la vente au détail (à l'excl. de")</f>
        <v>Médicaments constitués par des produits mélangés ou non, préparés à des fins thérapeutiques ou prophylactiques, présentés sous forme de doses [y.c. ceux destinés à être administrés par voie percutanée] ou conditionnés pour la vente au détail (à l'excl. de</v>
      </c>
    </row>
    <row r="426" spans="1:4" x14ac:dyDescent="0.25">
      <c r="A426" t="str">
        <f>T("   ZZZ_Monde")</f>
        <v xml:space="preserve">   ZZZ_Monde</v>
      </c>
      <c r="B426" t="str">
        <f>T("   ZZZ_Monde")</f>
        <v xml:space="preserve">   ZZZ_Monde</v>
      </c>
      <c r="C426">
        <v>201279596</v>
      </c>
      <c r="D426">
        <v>32265.5</v>
      </c>
    </row>
    <row r="427" spans="1:4" x14ac:dyDescent="0.25">
      <c r="A427" t="str">
        <f>T("   BF")</f>
        <v xml:space="preserve">   BF</v>
      </c>
      <c r="B427" t="str">
        <f>T("   Burkina Faso")</f>
        <v xml:space="preserve">   Burkina Faso</v>
      </c>
      <c r="C427">
        <v>9755128</v>
      </c>
      <c r="D427">
        <v>769</v>
      </c>
    </row>
    <row r="428" spans="1:4" x14ac:dyDescent="0.25">
      <c r="A428" t="str">
        <f>T("   NE")</f>
        <v xml:space="preserve">   NE</v>
      </c>
      <c r="B428" t="str">
        <f>T("   Niger")</f>
        <v xml:space="preserve">   Niger</v>
      </c>
      <c r="C428">
        <v>4963750</v>
      </c>
      <c r="D428">
        <v>133</v>
      </c>
    </row>
    <row r="429" spans="1:4" x14ac:dyDescent="0.25">
      <c r="A429" t="str">
        <f>T("   NG")</f>
        <v xml:space="preserve">   NG</v>
      </c>
      <c r="B429" t="str">
        <f>T("   Nigéria")</f>
        <v xml:space="preserve">   Nigéria</v>
      </c>
      <c r="C429">
        <v>7770502</v>
      </c>
      <c r="D429">
        <v>797</v>
      </c>
    </row>
    <row r="430" spans="1:4" x14ac:dyDescent="0.25">
      <c r="A430" t="str">
        <f>T("   TG")</f>
        <v xml:space="preserve">   TG</v>
      </c>
      <c r="B430" t="str">
        <f>T("   Togo")</f>
        <v xml:space="preserve">   Togo</v>
      </c>
      <c r="C430">
        <v>178790216</v>
      </c>
      <c r="D430">
        <v>30566.5</v>
      </c>
    </row>
    <row r="431" spans="1:4" x14ac:dyDescent="0.25">
      <c r="A431" t="str">
        <f>T("300590")</f>
        <v>300590</v>
      </c>
      <c r="B431" t="str">
        <f>T("OUATES, GAZES, BANDES ET ARTICLES ANALOGUES [PANSEMENTS, SPARADRAPS, SINAPISMES, P.EX.], IMPRÉGNÉS OU RECOUVERTS DE SUBSTANCES PHARMACEUTIQUES OU CONDITIONNÉS POUR LA VENTE AU DÉTAIL À DES FINS MÉDICALES, CHIRURGICALES, DENTAIRES OU VÉTÉRINAIRES (À L'EXCL")</f>
        <v>OUATES, GAZES, BANDES ET ARTICLES ANALOGUES [PANSEMENTS, SPARADRAPS, SINAPISMES, P.EX.], IMPRÉGNÉS OU RECOUVERTS DE SUBSTANCES PHARMACEUTIQUES OU CONDITIONNÉS POUR LA VENTE AU DÉTAIL À DES FINS MÉDICALES, CHIRURGICALES, DENTAIRES OU VÉTÉRINAIRES (À L'EXCL</v>
      </c>
    </row>
    <row r="432" spans="1:4" x14ac:dyDescent="0.25">
      <c r="A432" t="str">
        <f>T("   ZZZ_Monde")</f>
        <v xml:space="preserve">   ZZZ_Monde</v>
      </c>
      <c r="B432" t="str">
        <f>T("   ZZZ_Monde")</f>
        <v xml:space="preserve">   ZZZ_Monde</v>
      </c>
      <c r="C432">
        <v>13604171</v>
      </c>
      <c r="D432">
        <v>7866.4</v>
      </c>
    </row>
    <row r="433" spans="1:4" x14ac:dyDescent="0.25">
      <c r="A433" t="str">
        <f>T("   ES")</f>
        <v xml:space="preserve">   ES</v>
      </c>
      <c r="B433" t="str">
        <f>T("   Espagne")</f>
        <v xml:space="preserve">   Espagne</v>
      </c>
      <c r="C433">
        <v>649171</v>
      </c>
      <c r="D433">
        <v>16.399999999999999</v>
      </c>
    </row>
    <row r="434" spans="1:4" x14ac:dyDescent="0.25">
      <c r="A434" t="str">
        <f>T("   NE")</f>
        <v xml:space="preserve">   NE</v>
      </c>
      <c r="B434" t="str">
        <f>T("   Niger")</f>
        <v xml:space="preserve">   Niger</v>
      </c>
      <c r="C434">
        <v>9870000</v>
      </c>
      <c r="D434">
        <v>5400</v>
      </c>
    </row>
    <row r="435" spans="1:4" x14ac:dyDescent="0.25">
      <c r="A435" t="str">
        <f>T("   TG")</f>
        <v xml:space="preserve">   TG</v>
      </c>
      <c r="B435" t="str">
        <f>T("   Togo")</f>
        <v xml:space="preserve">   Togo</v>
      </c>
      <c r="C435">
        <v>3085000</v>
      </c>
      <c r="D435">
        <v>2450</v>
      </c>
    </row>
    <row r="436" spans="1:4" x14ac:dyDescent="0.25">
      <c r="A436" t="str">
        <f>T("320820")</f>
        <v>320820</v>
      </c>
      <c r="B436" t="str">
        <f>T("PEINTURES ET VERNIS À BASE DE POLYMÈRES ACRYLIQUES OU VINYLIQUES, DISPERSÉS OU DISSOUS DANS UN MILIEU NON-AQUEUX, ET PRODUITS À BASE DE POLYMÈRES ACRYLIQUES OU VINYLIQUES EN SOLUTION DANS DES SOLVANTS ORGANIQUES VOLATILS, POUR AUTANT QUE LA PROPORTION DU")</f>
        <v>PEINTURES ET VERNIS À BASE DE POLYMÈRES ACRYLIQUES OU VINYLIQUES, DISPERSÉS OU DISSOUS DANS UN MILIEU NON-AQUEUX, ET PRODUITS À BASE DE POLYMÈRES ACRYLIQUES OU VINYLIQUES EN SOLUTION DANS DES SOLVANTS ORGANIQUES VOLATILS, POUR AUTANT QUE LA PROPORTION DU</v>
      </c>
    </row>
    <row r="437" spans="1:4" x14ac:dyDescent="0.25">
      <c r="A437" t="str">
        <f>T("   ZZZ_Monde")</f>
        <v xml:space="preserve">   ZZZ_Monde</v>
      </c>
      <c r="B437" t="str">
        <f>T("   ZZZ_Monde")</f>
        <v xml:space="preserve">   ZZZ_Monde</v>
      </c>
      <c r="C437">
        <v>42481638</v>
      </c>
      <c r="D437">
        <v>19262</v>
      </c>
    </row>
    <row r="438" spans="1:4" x14ac:dyDescent="0.25">
      <c r="A438" t="str">
        <f>T("   GH")</f>
        <v xml:space="preserve">   GH</v>
      </c>
      <c r="B438" t="str">
        <f>T("   Ghana")</f>
        <v xml:space="preserve">   Ghana</v>
      </c>
      <c r="C438">
        <v>7400482</v>
      </c>
      <c r="D438">
        <v>780</v>
      </c>
    </row>
    <row r="439" spans="1:4" x14ac:dyDescent="0.25">
      <c r="A439" t="str">
        <f>T("   TG")</f>
        <v xml:space="preserve">   TG</v>
      </c>
      <c r="B439" t="str">
        <f>T("   Togo")</f>
        <v xml:space="preserve">   Togo</v>
      </c>
      <c r="C439">
        <v>35081156</v>
      </c>
      <c r="D439">
        <v>18482</v>
      </c>
    </row>
    <row r="440" spans="1:4" x14ac:dyDescent="0.25">
      <c r="A440" t="str">
        <f>T("320890")</f>
        <v>320890</v>
      </c>
      <c r="B440" t="str">
        <f>T("PEINTURES ET VERNIS À BASE DE POLYMÈRES SYNTHÉTIQUES OU DE POLYMÈRES NATURELS MODIFIÉS, DISPERSÉS OU DISSOUS DANS UN MILIEU NON-AQUEUX; PRODUITS VISÉS DANS LE LIBELLÉ DU N° 3901 À 3913 EN SOLUTION DANS DES SOLVANTS ORGANIQUES VOLATILS, POUR AUTANT QUE LA")</f>
        <v>PEINTURES ET VERNIS À BASE DE POLYMÈRES SYNTHÉTIQUES OU DE POLYMÈRES NATURELS MODIFIÉS, DISPERSÉS OU DISSOUS DANS UN MILIEU NON-AQUEUX; PRODUITS VISÉS DANS LE LIBELLÉ DU N° 3901 À 3913 EN SOLUTION DANS DES SOLVANTS ORGANIQUES VOLATILS, POUR AUTANT QUE LA</v>
      </c>
    </row>
    <row r="441" spans="1:4" x14ac:dyDescent="0.25">
      <c r="A441" t="str">
        <f>T("   ZZZ_Monde")</f>
        <v xml:space="preserve">   ZZZ_Monde</v>
      </c>
      <c r="B441" t="str">
        <f>T("   ZZZ_Monde")</f>
        <v xml:space="preserve">   ZZZ_Monde</v>
      </c>
      <c r="C441">
        <v>158291901</v>
      </c>
      <c r="D441">
        <v>85002</v>
      </c>
    </row>
    <row r="442" spans="1:4" x14ac:dyDescent="0.25">
      <c r="A442" t="str">
        <f>T("   BF")</f>
        <v xml:space="preserve">   BF</v>
      </c>
      <c r="B442" t="str">
        <f>T("   Burkina Faso")</f>
        <v xml:space="preserve">   Burkina Faso</v>
      </c>
      <c r="C442">
        <v>1387858</v>
      </c>
      <c r="D442">
        <v>252</v>
      </c>
    </row>
    <row r="443" spans="1:4" x14ac:dyDescent="0.25">
      <c r="A443" t="str">
        <f>T("   NG")</f>
        <v xml:space="preserve">   NG</v>
      </c>
      <c r="B443" t="str">
        <f>T("   Nigéria")</f>
        <v xml:space="preserve">   Nigéria</v>
      </c>
      <c r="C443">
        <v>60994015</v>
      </c>
      <c r="D443">
        <v>46251</v>
      </c>
    </row>
    <row r="444" spans="1:4" x14ac:dyDescent="0.25">
      <c r="A444" t="str">
        <f>T("   TG")</f>
        <v xml:space="preserve">   TG</v>
      </c>
      <c r="B444" t="str">
        <f>T("   Togo")</f>
        <v xml:space="preserve">   Togo</v>
      </c>
      <c r="C444">
        <v>95910028</v>
      </c>
      <c r="D444">
        <v>38499</v>
      </c>
    </row>
    <row r="445" spans="1:4" x14ac:dyDescent="0.25">
      <c r="A445" t="str">
        <f>T("320910")</f>
        <v>320910</v>
      </c>
      <c r="B445" t="str">
        <f>T("Peintures et vernis à base de polymères acryliques ou vinyliques, dispersés ou dissous dans un milieu aqueux")</f>
        <v>Peintures et vernis à base de polymères acryliques ou vinyliques, dispersés ou dissous dans un milieu aqueux</v>
      </c>
    </row>
    <row r="446" spans="1:4" x14ac:dyDescent="0.25">
      <c r="A446" t="str">
        <f>T("   ZZZ_Monde")</f>
        <v xml:space="preserve">   ZZZ_Monde</v>
      </c>
      <c r="B446" t="str">
        <f>T("   ZZZ_Monde")</f>
        <v xml:space="preserve">   ZZZ_Monde</v>
      </c>
      <c r="C446">
        <v>325817243</v>
      </c>
      <c r="D446">
        <v>568779</v>
      </c>
    </row>
    <row r="447" spans="1:4" x14ac:dyDescent="0.25">
      <c r="A447" t="str">
        <f>T("   GH")</f>
        <v xml:space="preserve">   GH</v>
      </c>
      <c r="B447" t="str">
        <f>T("   Ghana")</f>
        <v xml:space="preserve">   Ghana</v>
      </c>
      <c r="C447">
        <v>16016435</v>
      </c>
      <c r="D447">
        <v>30715</v>
      </c>
    </row>
    <row r="448" spans="1:4" x14ac:dyDescent="0.25">
      <c r="A448" t="str">
        <f>T("   TG")</f>
        <v xml:space="preserve">   TG</v>
      </c>
      <c r="B448" t="str">
        <f>T("   Togo")</f>
        <v xml:space="preserve">   Togo</v>
      </c>
      <c r="C448">
        <v>309800808</v>
      </c>
      <c r="D448">
        <v>538064</v>
      </c>
    </row>
    <row r="449" spans="1:4" x14ac:dyDescent="0.25">
      <c r="A449" t="str">
        <f>T("320990")</f>
        <v>320990</v>
      </c>
      <c r="B449" t="str">
        <f>T("Peintures et vernis à base de polymères synthétiques ou de polymères naturels modifiés, dispersés ou dissous dans un milieu aqueux (à l'excl. des produits à base de polymères acryliques ou vinyliques)")</f>
        <v>Peintures et vernis à base de polymères synthétiques ou de polymères naturels modifiés, dispersés ou dissous dans un milieu aqueux (à l'excl. des produits à base de polymères acryliques ou vinyliques)</v>
      </c>
    </row>
    <row r="450" spans="1:4" x14ac:dyDescent="0.25">
      <c r="A450" t="str">
        <f>T("   ZZZ_Monde")</f>
        <v xml:space="preserve">   ZZZ_Monde</v>
      </c>
      <c r="B450" t="str">
        <f>T("   ZZZ_Monde")</f>
        <v xml:space="preserve">   ZZZ_Monde</v>
      </c>
      <c r="C450">
        <v>185184380</v>
      </c>
      <c r="D450">
        <v>458098</v>
      </c>
    </row>
    <row r="451" spans="1:4" x14ac:dyDescent="0.25">
      <c r="A451" t="str">
        <f>T("   CI")</f>
        <v xml:space="preserve">   CI</v>
      </c>
      <c r="B451" t="str">
        <f>T("   Côte d'Ivoire")</f>
        <v xml:space="preserve">   Côte d'Ivoire</v>
      </c>
      <c r="C451">
        <v>12234739</v>
      </c>
      <c r="D451">
        <v>18004</v>
      </c>
    </row>
    <row r="452" spans="1:4" x14ac:dyDescent="0.25">
      <c r="A452" t="str">
        <f>T("   GA")</f>
        <v xml:space="preserve">   GA</v>
      </c>
      <c r="B452" t="str">
        <f>T("   Gabon")</f>
        <v xml:space="preserve">   Gabon</v>
      </c>
      <c r="C452">
        <v>3725000</v>
      </c>
      <c r="D452">
        <v>3400</v>
      </c>
    </row>
    <row r="453" spans="1:4" x14ac:dyDescent="0.25">
      <c r="A453" t="str">
        <f>T("   GH")</f>
        <v xml:space="preserve">   GH</v>
      </c>
      <c r="B453" t="str">
        <f>T("   Ghana")</f>
        <v xml:space="preserve">   Ghana</v>
      </c>
      <c r="C453">
        <v>27905871</v>
      </c>
      <c r="D453">
        <v>73307</v>
      </c>
    </row>
    <row r="454" spans="1:4" x14ac:dyDescent="0.25">
      <c r="A454" t="str">
        <f>T("   TG")</f>
        <v xml:space="preserve">   TG</v>
      </c>
      <c r="B454" t="str">
        <f>T("   Togo")</f>
        <v xml:space="preserve">   Togo</v>
      </c>
      <c r="C454">
        <v>141318770</v>
      </c>
      <c r="D454">
        <v>363387</v>
      </c>
    </row>
    <row r="455" spans="1:4" x14ac:dyDescent="0.25">
      <c r="A455" t="str">
        <f>T("321000")</f>
        <v>321000</v>
      </c>
      <c r="B455" t="str">
        <f>T("Peintures et vernis (à l'excl. des produits à base de polymères synthétiques ou de polymères naturels modifiés); pigments à l'eau préparés des types utilisés pour le finissage des cuirs")</f>
        <v>Peintures et vernis (à l'excl. des produits à base de polymères synthétiques ou de polymères naturels modifiés); pigments à l'eau préparés des types utilisés pour le finissage des cuirs</v>
      </c>
    </row>
    <row r="456" spans="1:4" x14ac:dyDescent="0.25">
      <c r="A456" t="str">
        <f>T("   ZZZ_Monde")</f>
        <v xml:space="preserve">   ZZZ_Monde</v>
      </c>
      <c r="B456" t="str">
        <f>T("   ZZZ_Monde")</f>
        <v xml:space="preserve">   ZZZ_Monde</v>
      </c>
      <c r="C456">
        <v>2234218</v>
      </c>
      <c r="D456">
        <v>6340</v>
      </c>
    </row>
    <row r="457" spans="1:4" x14ac:dyDescent="0.25">
      <c r="A457" t="str">
        <f>T("   TG")</f>
        <v xml:space="preserve">   TG</v>
      </c>
      <c r="B457" t="str">
        <f>T("   Togo")</f>
        <v xml:space="preserve">   Togo</v>
      </c>
      <c r="C457">
        <v>2234218</v>
      </c>
      <c r="D457">
        <v>6340</v>
      </c>
    </row>
    <row r="458" spans="1:4" x14ac:dyDescent="0.25">
      <c r="A458" t="str">
        <f>T("330499")</f>
        <v>330499</v>
      </c>
      <c r="B458" t="str">
        <f>T("Produits de beauté ou de maquillage préparés et préparations pour l'entretien ou les soins de la peau, y.c. les préparations antisolaires et les préparations pour bronzer (à l'excl. des médicaments, des produits de maquillage pour les lèvres ou les yeux,")</f>
        <v>Produits de beauté ou de maquillage préparés et préparations pour l'entretien ou les soins de la peau, y.c. les préparations antisolaires et les préparations pour bronzer (à l'excl. des médicaments, des produits de maquillage pour les lèvres ou les yeux,</v>
      </c>
    </row>
    <row r="459" spans="1:4" x14ac:dyDescent="0.25">
      <c r="A459" t="str">
        <f>T("   ZZZ_Monde")</f>
        <v xml:space="preserve">   ZZZ_Monde</v>
      </c>
      <c r="B459" t="str">
        <f>T("   ZZZ_Monde")</f>
        <v xml:space="preserve">   ZZZ_Monde</v>
      </c>
      <c r="C459">
        <v>2450000</v>
      </c>
      <c r="D459">
        <v>21600</v>
      </c>
    </row>
    <row r="460" spans="1:4" x14ac:dyDescent="0.25">
      <c r="A460" t="str">
        <f>T("   GA")</f>
        <v xml:space="preserve">   GA</v>
      </c>
      <c r="B460" t="str">
        <f>T("   Gabon")</f>
        <v xml:space="preserve">   Gabon</v>
      </c>
      <c r="C460">
        <v>2310000</v>
      </c>
      <c r="D460">
        <v>21500</v>
      </c>
    </row>
    <row r="461" spans="1:4" x14ac:dyDescent="0.25">
      <c r="A461" t="str">
        <f>T("   GQ")</f>
        <v xml:space="preserve">   GQ</v>
      </c>
      <c r="B461" t="str">
        <f>T("   Guinée Equatoriale")</f>
        <v xml:space="preserve">   Guinée Equatoriale</v>
      </c>
      <c r="C461">
        <v>140000</v>
      </c>
      <c r="D461">
        <v>100</v>
      </c>
    </row>
    <row r="462" spans="1:4" x14ac:dyDescent="0.25">
      <c r="A462" t="str">
        <f>T("330710")</f>
        <v>330710</v>
      </c>
      <c r="B462" t="str">
        <f>T("Préparations pour le prérasage, le rasage ou l'après-rasage")</f>
        <v>Préparations pour le prérasage, le rasage ou l'après-rasage</v>
      </c>
    </row>
    <row r="463" spans="1:4" x14ac:dyDescent="0.25">
      <c r="A463" t="str">
        <f>T("   ZZZ_Monde")</f>
        <v xml:space="preserve">   ZZZ_Monde</v>
      </c>
      <c r="B463" t="str">
        <f>T("   ZZZ_Monde")</f>
        <v xml:space="preserve">   ZZZ_Monde</v>
      </c>
      <c r="C463">
        <v>102168259</v>
      </c>
      <c r="D463">
        <v>14440</v>
      </c>
    </row>
    <row r="464" spans="1:4" x14ac:dyDescent="0.25">
      <c r="A464" t="str">
        <f>T("   AE")</f>
        <v xml:space="preserve">   AE</v>
      </c>
      <c r="B464" t="str">
        <f>T("   Emirats Arabes Unis")</f>
        <v xml:space="preserve">   Emirats Arabes Unis</v>
      </c>
      <c r="C464">
        <v>102168259</v>
      </c>
      <c r="D464">
        <v>14440</v>
      </c>
    </row>
    <row r="465" spans="1:4" x14ac:dyDescent="0.25">
      <c r="A465" t="str">
        <f>T("330790")</f>
        <v>330790</v>
      </c>
      <c r="B465" t="str">
        <f>T("Dépilatoires, autres produits de parfumerie ou de toilette préparés et autres préparations cosmétiques, n.d.a.")</f>
        <v>Dépilatoires, autres produits de parfumerie ou de toilette préparés et autres préparations cosmétiques, n.d.a.</v>
      </c>
    </row>
    <row r="466" spans="1:4" x14ac:dyDescent="0.25">
      <c r="A466" t="str">
        <f>T("   ZZZ_Monde")</f>
        <v xml:space="preserve">   ZZZ_Monde</v>
      </c>
      <c r="B466" t="str">
        <f>T("   ZZZ_Monde")</f>
        <v xml:space="preserve">   ZZZ_Monde</v>
      </c>
      <c r="C466">
        <v>6345000</v>
      </c>
      <c r="D466">
        <v>3760</v>
      </c>
    </row>
    <row r="467" spans="1:4" x14ac:dyDescent="0.25">
      <c r="A467" t="str">
        <f>T("   GA")</f>
        <v xml:space="preserve">   GA</v>
      </c>
      <c r="B467" t="str">
        <f>T("   Gabon")</f>
        <v xml:space="preserve">   Gabon</v>
      </c>
      <c r="C467">
        <v>6345000</v>
      </c>
      <c r="D467">
        <v>3760</v>
      </c>
    </row>
    <row r="468" spans="1:4" x14ac:dyDescent="0.25">
      <c r="A468" t="str">
        <f>T("340111")</f>
        <v>340111</v>
      </c>
      <c r="B468" t="str">
        <f>T("Savons, produits et préparations organiques tensio-actifs à usage de savon, en barres, en pains, en morceaux ou en sujets frappés, et papier, ouates, feutres et nontissés, imprégnés, enduits ou recouverts de savon ou de détergents, pour la toilette, y.c.")</f>
        <v>Savons, produits et préparations organiques tensio-actifs à usage de savon, en barres, en pains, en morceaux ou en sujets frappés, et papier, ouates, feutres et nontissés, imprégnés, enduits ou recouverts de savon ou de détergents, pour la toilette, y.c.</v>
      </c>
    </row>
    <row r="469" spans="1:4" x14ac:dyDescent="0.25">
      <c r="A469" t="str">
        <f>T("   ZZZ_Monde")</f>
        <v xml:space="preserve">   ZZZ_Monde</v>
      </c>
      <c r="B469" t="str">
        <f>T("   ZZZ_Monde")</f>
        <v xml:space="preserve">   ZZZ_Monde</v>
      </c>
      <c r="C469">
        <v>7000000</v>
      </c>
      <c r="D469">
        <v>2200</v>
      </c>
    </row>
    <row r="470" spans="1:4" x14ac:dyDescent="0.25">
      <c r="A470" t="str">
        <f>T("   CG")</f>
        <v xml:space="preserve">   CG</v>
      </c>
      <c r="B470" t="str">
        <f>T("   Congo (Brazzaville)")</f>
        <v xml:space="preserve">   Congo (Brazzaville)</v>
      </c>
      <c r="C470">
        <v>7000000</v>
      </c>
      <c r="D470">
        <v>2200</v>
      </c>
    </row>
    <row r="471" spans="1:4" x14ac:dyDescent="0.25">
      <c r="A471" t="str">
        <f>T("340119")</f>
        <v>340119</v>
      </c>
      <c r="B471" t="str">
        <f>T("Savons, produits et préparations organiques tensio-actifs à usage de savon, en barres, en pains, en morceaux ou en sujets frappés, et papier, ouates, feutres et nontissés, imprégnés, enduits ou recouverts de savon ou de détergents (à l'excl. des produits")</f>
        <v>Savons, produits et préparations organiques tensio-actifs à usage de savon, en barres, en pains, en morceaux ou en sujets frappés, et papier, ouates, feutres et nontissés, imprégnés, enduits ou recouverts de savon ou de détergents (à l'excl. des produits</v>
      </c>
    </row>
    <row r="472" spans="1:4" x14ac:dyDescent="0.25">
      <c r="A472" t="str">
        <f>T("   ZZZ_Monde")</f>
        <v xml:space="preserve">   ZZZ_Monde</v>
      </c>
      <c r="B472" t="str">
        <f>T("   ZZZ_Monde")</f>
        <v xml:space="preserve">   ZZZ_Monde</v>
      </c>
      <c r="C472">
        <v>7700000</v>
      </c>
      <c r="D472">
        <v>37300</v>
      </c>
    </row>
    <row r="473" spans="1:4" x14ac:dyDescent="0.25">
      <c r="A473" t="str">
        <f>T("   CD")</f>
        <v xml:space="preserve">   CD</v>
      </c>
      <c r="B473" t="str">
        <f>T("   Congo, République Démocratique")</f>
        <v xml:space="preserve">   Congo, République Démocratique</v>
      </c>
      <c r="C473">
        <v>1200000</v>
      </c>
      <c r="D473">
        <v>10000</v>
      </c>
    </row>
    <row r="474" spans="1:4" x14ac:dyDescent="0.25">
      <c r="A474" t="str">
        <f>T("   CG")</f>
        <v xml:space="preserve">   CG</v>
      </c>
      <c r="B474" t="str">
        <f>T("   Congo (Brazzaville)")</f>
        <v xml:space="preserve">   Congo (Brazzaville)</v>
      </c>
      <c r="C474">
        <v>6500000</v>
      </c>
      <c r="D474">
        <v>27300</v>
      </c>
    </row>
    <row r="475" spans="1:4" x14ac:dyDescent="0.25">
      <c r="A475" t="str">
        <f>T("340290")</f>
        <v>340290</v>
      </c>
      <c r="B475" t="str">
        <f>T("Préparations tensio-actives, préparations pour lessives, préparations auxiliaires de lavage et préparations de nettoyage (à l'excl. des préparations conditionnées pour la vente au détail, des agents de surface organiques, des savons et des préparations or")</f>
        <v>Préparations tensio-actives, préparations pour lessives, préparations auxiliaires de lavage et préparations de nettoyage (à l'excl. des préparations conditionnées pour la vente au détail, des agents de surface organiques, des savons et des préparations or</v>
      </c>
    </row>
    <row r="476" spans="1:4" x14ac:dyDescent="0.25">
      <c r="A476" t="str">
        <f>T("   ZZZ_Monde")</f>
        <v xml:space="preserve">   ZZZ_Monde</v>
      </c>
      <c r="B476" t="str">
        <f>T("   ZZZ_Monde")</f>
        <v xml:space="preserve">   ZZZ_Monde</v>
      </c>
      <c r="C476">
        <v>18410000</v>
      </c>
      <c r="D476">
        <v>33112</v>
      </c>
    </row>
    <row r="477" spans="1:4" x14ac:dyDescent="0.25">
      <c r="A477" t="str">
        <f>T("   BF")</f>
        <v xml:space="preserve">   BF</v>
      </c>
      <c r="B477" t="str">
        <f>T("   Burkina Faso")</f>
        <v xml:space="preserve">   Burkina Faso</v>
      </c>
      <c r="C477">
        <v>17410000</v>
      </c>
      <c r="D477">
        <v>5000</v>
      </c>
    </row>
    <row r="478" spans="1:4" x14ac:dyDescent="0.25">
      <c r="A478" t="str">
        <f>T("   LY")</f>
        <v xml:space="preserve">   LY</v>
      </c>
      <c r="B478" t="str">
        <f>T("   Libyenne, Jamahiriya Arabe")</f>
        <v xml:space="preserve">   Libyenne, Jamahiriya Arabe</v>
      </c>
      <c r="C478">
        <v>1000000</v>
      </c>
      <c r="D478">
        <v>28112</v>
      </c>
    </row>
    <row r="479" spans="1:4" x14ac:dyDescent="0.25">
      <c r="A479" t="str">
        <f>T("350510")</f>
        <v>350510</v>
      </c>
      <c r="B479" t="str">
        <f>T("DEXTRINE ET AUTRES AMIDONS ET FÉCULES MODIFIÉS [LES AMIDONS ET FÉCULES PRÉ-GÉLATINISÉS OU ESTÉRIFIÉS, P.EX.]")</f>
        <v>DEXTRINE ET AUTRES AMIDONS ET FÉCULES MODIFIÉS [LES AMIDONS ET FÉCULES PRÉ-GÉLATINISÉS OU ESTÉRIFIÉS, P.EX.]</v>
      </c>
    </row>
    <row r="480" spans="1:4" x14ac:dyDescent="0.25">
      <c r="A480" t="str">
        <f>T("   ZZZ_Monde")</f>
        <v xml:space="preserve">   ZZZ_Monde</v>
      </c>
      <c r="B480" t="str">
        <f>T("   ZZZ_Monde")</f>
        <v xml:space="preserve">   ZZZ_Monde</v>
      </c>
      <c r="C480">
        <v>111688032</v>
      </c>
      <c r="D480">
        <v>143851.88</v>
      </c>
    </row>
    <row r="481" spans="1:4" x14ac:dyDescent="0.25">
      <c r="A481" t="str">
        <f>T("   CI")</f>
        <v xml:space="preserve">   CI</v>
      </c>
      <c r="B481" t="str">
        <f>T("   Côte d'Ivoire")</f>
        <v xml:space="preserve">   Côte d'Ivoire</v>
      </c>
      <c r="C481">
        <v>73086158</v>
      </c>
      <c r="D481">
        <v>90773.3</v>
      </c>
    </row>
    <row r="482" spans="1:4" x14ac:dyDescent="0.25">
      <c r="A482" t="str">
        <f>T("   CM")</f>
        <v xml:space="preserve">   CM</v>
      </c>
      <c r="B482" t="str">
        <f>T("   Cameroun")</f>
        <v xml:space="preserve">   Cameroun</v>
      </c>
      <c r="C482">
        <v>6313797</v>
      </c>
      <c r="D482">
        <v>8846.43</v>
      </c>
    </row>
    <row r="483" spans="1:4" x14ac:dyDescent="0.25">
      <c r="A483" t="str">
        <f>T("   GH")</f>
        <v xml:space="preserve">   GH</v>
      </c>
      <c r="B483" t="str">
        <f>T("   Ghana")</f>
        <v xml:space="preserve">   Ghana</v>
      </c>
      <c r="C483">
        <v>32288077</v>
      </c>
      <c r="D483">
        <v>44232.15</v>
      </c>
    </row>
    <row r="484" spans="1:4" x14ac:dyDescent="0.25">
      <c r="A484" t="str">
        <f>T("370790")</f>
        <v>370790</v>
      </c>
      <c r="B484" t="str">
        <f>T("PRÉPARATIONS CHIMIQUES POUR USAGES PHOTOGRAPHIQUES, Y.C. LES PRODUITS NON-MÉLANGÉS, SOIT DOSÉS EN VUE D'USAGES PHOTOGRAPHIQUES, SOIT CONDITIONNÉS POUR LA VENTE AU DÉTAIL POUR CES MÊMES USAGES ET PRÊTS À L'EMPLOI (À L'EXCL. DES VERNIS, COLLES, ADHÉSIFS ET")</f>
        <v>PRÉPARATIONS CHIMIQUES POUR USAGES PHOTOGRAPHIQUES, Y.C. LES PRODUITS NON-MÉLANGÉS, SOIT DOSÉS EN VUE D'USAGES PHOTOGRAPHIQUES, SOIT CONDITIONNÉS POUR LA VENTE AU DÉTAIL POUR CES MÊMES USAGES ET PRÊTS À L'EMPLOI (À L'EXCL. DES VERNIS, COLLES, ADHÉSIFS ET</v>
      </c>
    </row>
    <row r="485" spans="1:4" x14ac:dyDescent="0.25">
      <c r="A485" t="str">
        <f>T("   ZZZ_Monde")</f>
        <v xml:space="preserve">   ZZZ_Monde</v>
      </c>
      <c r="B485" t="str">
        <f>T("   ZZZ_Monde")</f>
        <v xml:space="preserve">   ZZZ_Monde</v>
      </c>
      <c r="C485">
        <v>6000000</v>
      </c>
      <c r="D485">
        <v>16500</v>
      </c>
    </row>
    <row r="486" spans="1:4" x14ac:dyDescent="0.25">
      <c r="A486" t="str">
        <f>T("   CI")</f>
        <v xml:space="preserve">   CI</v>
      </c>
      <c r="B486" t="str">
        <f>T("   Côte d'Ivoire")</f>
        <v xml:space="preserve">   Côte d'Ivoire</v>
      </c>
      <c r="C486">
        <v>6000000</v>
      </c>
      <c r="D486">
        <v>16500</v>
      </c>
    </row>
    <row r="487" spans="1:4" x14ac:dyDescent="0.25">
      <c r="A487" t="str">
        <f>T("380850")</f>
        <v>380850</v>
      </c>
      <c r="B487" t="str">
        <f>T("MARCHANDISES CONTENANT UNE OU PLUSIEURS DES SUBSTANCES DE L'ALDRINE [ISO], DU BINAPACRYL [ISO], DU CAMPHÉCHLORE [ISO] [TOXAPHÈNE], DU CAPTAFOL [ISO], DU CHLORDANE [ISO], DU CHLORDIMÉFORME [ISO], DU CHLOROBENZILATE [ISO], DES COMPOSÉS DU MERCURE, DU DDT [I")</f>
        <v>MARCHANDISES CONTENANT UNE OU PLUSIEURS DES SUBSTANCES DE L'ALDRINE [ISO], DU BINAPACRYL [ISO], DU CAMPHÉCHLORE [ISO] [TOXAPHÈNE], DU CAPTAFOL [ISO], DU CHLORDANE [ISO], DU CHLORDIMÉFORME [ISO], DU CHLOROBENZILATE [ISO], DES COMPOSÉS DU MERCURE, DU DDT [I</v>
      </c>
    </row>
    <row r="488" spans="1:4" x14ac:dyDescent="0.25">
      <c r="A488" t="str">
        <f>T("   ZZZ_Monde")</f>
        <v xml:space="preserve">   ZZZ_Monde</v>
      </c>
      <c r="B488" t="str">
        <f>T("   ZZZ_Monde")</f>
        <v xml:space="preserve">   ZZZ_Monde</v>
      </c>
      <c r="C488">
        <v>21000000</v>
      </c>
      <c r="D488">
        <v>78000</v>
      </c>
    </row>
    <row r="489" spans="1:4" x14ac:dyDescent="0.25">
      <c r="A489" t="str">
        <f>T("   TG")</f>
        <v xml:space="preserve">   TG</v>
      </c>
      <c r="B489" t="str">
        <f>T("   Togo")</f>
        <v xml:space="preserve">   Togo</v>
      </c>
      <c r="C489">
        <v>21000000</v>
      </c>
      <c r="D489">
        <v>78000</v>
      </c>
    </row>
    <row r="490" spans="1:4" x14ac:dyDescent="0.25">
      <c r="A490" t="str">
        <f>T("382490")</f>
        <v>382490</v>
      </c>
      <c r="B490" t="str">
        <f>T("Produits chimiques et préparations des industries chimiques ou des industries connexes, y.c. celles consistant en mélanges de produits naturels, n.d.a.")</f>
        <v>Produits chimiques et préparations des industries chimiques ou des industries connexes, y.c. celles consistant en mélanges de produits naturels, n.d.a.</v>
      </c>
    </row>
    <row r="491" spans="1:4" x14ac:dyDescent="0.25">
      <c r="A491" t="str">
        <f>T("   ZZZ_Monde")</f>
        <v xml:space="preserve">   ZZZ_Monde</v>
      </c>
      <c r="B491" t="str">
        <f>T("   ZZZ_Monde")</f>
        <v xml:space="preserve">   ZZZ_Monde</v>
      </c>
      <c r="C491">
        <v>1146600</v>
      </c>
      <c r="D491">
        <v>400</v>
      </c>
    </row>
    <row r="492" spans="1:4" x14ac:dyDescent="0.25">
      <c r="A492" t="str">
        <f>T("   CI")</f>
        <v xml:space="preserve">   CI</v>
      </c>
      <c r="B492" t="str">
        <f>T("   Côte d'Ivoire")</f>
        <v xml:space="preserve">   Côte d'Ivoire</v>
      </c>
      <c r="C492">
        <v>1146600</v>
      </c>
      <c r="D492">
        <v>400</v>
      </c>
    </row>
    <row r="493" spans="1:4" x14ac:dyDescent="0.25">
      <c r="A493" t="str">
        <f>T("390120")</f>
        <v>390120</v>
      </c>
      <c r="B493" t="str">
        <f>T("Polyéthylène d'une densité &gt;= 0,94, sous formes primaires")</f>
        <v>Polyéthylène d'une densité &gt;= 0,94, sous formes primaires</v>
      </c>
    </row>
    <row r="494" spans="1:4" x14ac:dyDescent="0.25">
      <c r="A494" t="str">
        <f>T("   ZZZ_Monde")</f>
        <v xml:space="preserve">   ZZZ_Monde</v>
      </c>
      <c r="B494" t="str">
        <f>T("   ZZZ_Monde")</f>
        <v xml:space="preserve">   ZZZ_Monde</v>
      </c>
      <c r="C494">
        <v>33619938</v>
      </c>
      <c r="D494">
        <v>51785</v>
      </c>
    </row>
    <row r="495" spans="1:4" x14ac:dyDescent="0.25">
      <c r="A495" t="str">
        <f>T("   NE")</f>
        <v xml:space="preserve">   NE</v>
      </c>
      <c r="B495" t="str">
        <f>T("   Niger")</f>
        <v xml:space="preserve">   Niger</v>
      </c>
      <c r="C495">
        <v>8376649</v>
      </c>
      <c r="D495">
        <v>17581</v>
      </c>
    </row>
    <row r="496" spans="1:4" x14ac:dyDescent="0.25">
      <c r="A496" t="str">
        <f>T("   TG")</f>
        <v xml:space="preserve">   TG</v>
      </c>
      <c r="B496" t="str">
        <f>T("   Togo")</f>
        <v xml:space="preserve">   Togo</v>
      </c>
      <c r="C496">
        <v>25243289</v>
      </c>
      <c r="D496">
        <v>34204</v>
      </c>
    </row>
    <row r="497" spans="1:4" x14ac:dyDescent="0.25">
      <c r="A497" t="str">
        <f>T("390190")</f>
        <v>390190</v>
      </c>
      <c r="B497" t="str">
        <f>T("Polymères de l'éthylène, sous formes primaires (à l'excl. du polyéthylène ainsi que des copolymères d'éthylène et d'acétate de vinyle)")</f>
        <v>Polymères de l'éthylène, sous formes primaires (à l'excl. du polyéthylène ainsi que des copolymères d'éthylène et d'acétate de vinyle)</v>
      </c>
    </row>
    <row r="498" spans="1:4" x14ac:dyDescent="0.25">
      <c r="A498" t="str">
        <f>T("   ZZZ_Monde")</f>
        <v xml:space="preserve">   ZZZ_Monde</v>
      </c>
      <c r="B498" t="str">
        <f>T("   ZZZ_Monde")</f>
        <v xml:space="preserve">   ZZZ_Monde</v>
      </c>
      <c r="C498">
        <v>23882742</v>
      </c>
      <c r="D498">
        <v>16755</v>
      </c>
    </row>
    <row r="499" spans="1:4" x14ac:dyDescent="0.25">
      <c r="A499" t="str">
        <f>T("   BF")</f>
        <v xml:space="preserve">   BF</v>
      </c>
      <c r="B499" t="str">
        <f>T("   Burkina Faso")</f>
        <v xml:space="preserve">   Burkina Faso</v>
      </c>
      <c r="C499">
        <v>23882742</v>
      </c>
      <c r="D499">
        <v>16755</v>
      </c>
    </row>
    <row r="500" spans="1:4" x14ac:dyDescent="0.25">
      <c r="A500" t="str">
        <f>T("390799")</f>
        <v>390799</v>
      </c>
      <c r="B500" t="str">
        <f>T("POLYESTERS, SATURÉS, SOUS FORMES PRIMAIRES (À L'EXCL. DES POLYCARBONATES, DES RÉSINES ALKYDES ET DU POLY[ÉTHYLÈNE TÉRÉPHTALATE]) [01/01/1988-31/12/1993: POLYESTERS ALLYLIQUES ET AUTRES POLYESTERS, SATURÉS, SOUS FORMES PRIMAIRES]")</f>
        <v>POLYESTERS, SATURÉS, SOUS FORMES PRIMAIRES (À L'EXCL. DES POLYCARBONATES, DES RÉSINES ALKYDES ET DU POLY[ÉTHYLÈNE TÉRÉPHTALATE]) [01/01/1988-31/12/1993: POLYESTERS ALLYLIQUES ET AUTRES POLYESTERS, SATURÉS, SOUS FORMES PRIMAIRES]</v>
      </c>
    </row>
    <row r="501" spans="1:4" x14ac:dyDescent="0.25">
      <c r="A501" t="str">
        <f>T("   ZZZ_Monde")</f>
        <v xml:space="preserve">   ZZZ_Monde</v>
      </c>
      <c r="B501" t="str">
        <f>T("   ZZZ_Monde")</f>
        <v xml:space="preserve">   ZZZ_Monde</v>
      </c>
      <c r="C501">
        <v>162575091</v>
      </c>
      <c r="D501">
        <v>187000</v>
      </c>
    </row>
    <row r="502" spans="1:4" x14ac:dyDescent="0.25">
      <c r="A502" t="str">
        <f>T("   BF")</f>
        <v xml:space="preserve">   BF</v>
      </c>
      <c r="B502" t="str">
        <f>T("   Burkina Faso")</f>
        <v xml:space="preserve">   Burkina Faso</v>
      </c>
      <c r="C502">
        <v>133093635</v>
      </c>
      <c r="D502">
        <v>153747</v>
      </c>
    </row>
    <row r="503" spans="1:4" x14ac:dyDescent="0.25">
      <c r="A503" t="str">
        <f>T("   NE")</f>
        <v xml:space="preserve">   NE</v>
      </c>
      <c r="B503" t="str">
        <f>T("   Niger")</f>
        <v xml:space="preserve">   Niger</v>
      </c>
      <c r="C503">
        <v>29481456</v>
      </c>
      <c r="D503">
        <v>33253</v>
      </c>
    </row>
    <row r="504" spans="1:4" x14ac:dyDescent="0.25">
      <c r="A504" t="str">
        <f>T("391590")</f>
        <v>391590</v>
      </c>
      <c r="B504" t="str">
        <f>T("Déchets, rognures et débris de matières plastiques (à l'excl. des déchets, rognures et débris de polymères de l'éthylène, du styrène ou du chlorure de vinyle)")</f>
        <v>Déchets, rognures et débris de matières plastiques (à l'excl. des déchets, rognures et débris de polymères de l'éthylène, du styrène ou du chlorure de vinyle)</v>
      </c>
    </row>
    <row r="505" spans="1:4" x14ac:dyDescent="0.25">
      <c r="A505" t="str">
        <f>T("   ZZZ_Monde")</f>
        <v xml:space="preserve">   ZZZ_Monde</v>
      </c>
      <c r="B505" t="str">
        <f>T("   ZZZ_Monde")</f>
        <v xml:space="preserve">   ZZZ_Monde</v>
      </c>
      <c r="C505">
        <v>10664945</v>
      </c>
      <c r="D505">
        <v>422940.07</v>
      </c>
    </row>
    <row r="506" spans="1:4" x14ac:dyDescent="0.25">
      <c r="A506" t="str">
        <f>T("   FR")</f>
        <v xml:space="preserve">   FR</v>
      </c>
      <c r="B506" t="str">
        <f>T("   France")</f>
        <v xml:space="preserve">   France</v>
      </c>
      <c r="C506">
        <v>78715</v>
      </c>
      <c r="D506">
        <v>8690.07</v>
      </c>
    </row>
    <row r="507" spans="1:4" x14ac:dyDescent="0.25">
      <c r="A507" t="str">
        <f>T("   GN")</f>
        <v xml:space="preserve">   GN</v>
      </c>
      <c r="B507" t="str">
        <f>T("   Guinée")</f>
        <v xml:space="preserve">   Guinée</v>
      </c>
      <c r="C507">
        <v>172480</v>
      </c>
      <c r="D507">
        <v>800</v>
      </c>
    </row>
    <row r="508" spans="1:4" x14ac:dyDescent="0.25">
      <c r="A508" t="str">
        <f>T("   GQ")</f>
        <v xml:space="preserve">   GQ</v>
      </c>
      <c r="B508" t="str">
        <f>T("   Guinée Equatoriale")</f>
        <v xml:space="preserve">   Guinée Equatoriale</v>
      </c>
      <c r="C508">
        <v>90000</v>
      </c>
      <c r="D508">
        <v>500</v>
      </c>
    </row>
    <row r="509" spans="1:4" x14ac:dyDescent="0.25">
      <c r="A509" t="str">
        <f>T("   TG")</f>
        <v xml:space="preserve">   TG</v>
      </c>
      <c r="B509" t="str">
        <f>T("   Togo")</f>
        <v xml:space="preserve">   Togo</v>
      </c>
      <c r="C509">
        <v>10323750</v>
      </c>
      <c r="D509">
        <v>412950</v>
      </c>
    </row>
    <row r="510" spans="1:4" x14ac:dyDescent="0.25">
      <c r="A510" t="str">
        <f>T("391721")</f>
        <v>391721</v>
      </c>
      <c r="B510" t="str">
        <f>T("TUBES ET TUYAUX RIGIDES, EN POLYMÈRES DE L'ÉTHYLÈNE")</f>
        <v>TUBES ET TUYAUX RIGIDES, EN POLYMÈRES DE L'ÉTHYLÈNE</v>
      </c>
    </row>
    <row r="511" spans="1:4" x14ac:dyDescent="0.25">
      <c r="A511" t="str">
        <f>T("   ZZZ_Monde")</f>
        <v xml:space="preserve">   ZZZ_Monde</v>
      </c>
      <c r="B511" t="str">
        <f>T("   ZZZ_Monde")</f>
        <v xml:space="preserve">   ZZZ_Monde</v>
      </c>
      <c r="C511">
        <v>445386282</v>
      </c>
      <c r="D511">
        <v>175171</v>
      </c>
    </row>
    <row r="512" spans="1:4" x14ac:dyDescent="0.25">
      <c r="A512" t="str">
        <f>T("   NE")</f>
        <v xml:space="preserve">   NE</v>
      </c>
      <c r="B512" t="str">
        <f>T("   Niger")</f>
        <v xml:space="preserve">   Niger</v>
      </c>
      <c r="C512">
        <v>22125000</v>
      </c>
      <c r="D512">
        <v>43424</v>
      </c>
    </row>
    <row r="513" spans="1:4" x14ac:dyDescent="0.25">
      <c r="A513" t="str">
        <f>T("   NG")</f>
        <v xml:space="preserve">   NG</v>
      </c>
      <c r="B513" t="str">
        <f>T("   Nigéria")</f>
        <v xml:space="preserve">   Nigéria</v>
      </c>
      <c r="C513">
        <v>14564800</v>
      </c>
      <c r="D513">
        <v>7500</v>
      </c>
    </row>
    <row r="514" spans="1:4" x14ac:dyDescent="0.25">
      <c r="A514" t="str">
        <f>T("   TG")</f>
        <v xml:space="preserve">   TG</v>
      </c>
      <c r="B514" t="str">
        <f>T("   Togo")</f>
        <v xml:space="preserve">   Togo</v>
      </c>
      <c r="C514">
        <v>26003200</v>
      </c>
      <c r="D514">
        <v>34000</v>
      </c>
    </row>
    <row r="515" spans="1:4" x14ac:dyDescent="0.25">
      <c r="A515" t="str">
        <f>T("   ZM")</f>
        <v xml:space="preserve">   ZM</v>
      </c>
      <c r="B515" t="str">
        <f>T("   Zambie")</f>
        <v xml:space="preserve">   Zambie</v>
      </c>
      <c r="C515">
        <v>382693282</v>
      </c>
      <c r="D515">
        <v>90247</v>
      </c>
    </row>
    <row r="516" spans="1:4" x14ac:dyDescent="0.25">
      <c r="A516" t="str">
        <f>T("391722")</f>
        <v>391722</v>
      </c>
      <c r="B516" t="str">
        <f>T("TUBES ET TUYAUX RIGIDES, EN POLYMÈRES DU PROPYLÈNE")</f>
        <v>TUBES ET TUYAUX RIGIDES, EN POLYMÈRES DU PROPYLÈNE</v>
      </c>
    </row>
    <row r="517" spans="1:4" x14ac:dyDescent="0.25">
      <c r="A517" t="str">
        <f>T("   ZZZ_Monde")</f>
        <v xml:space="preserve">   ZZZ_Monde</v>
      </c>
      <c r="B517" t="str">
        <f>T("   ZZZ_Monde")</f>
        <v xml:space="preserve">   ZZZ_Monde</v>
      </c>
      <c r="C517">
        <v>22490368</v>
      </c>
      <c r="D517">
        <v>21299</v>
      </c>
    </row>
    <row r="518" spans="1:4" x14ac:dyDescent="0.25">
      <c r="A518" t="str">
        <f>T("   CM")</f>
        <v xml:space="preserve">   CM</v>
      </c>
      <c r="B518" t="str">
        <f>T("   Cameroun")</f>
        <v xml:space="preserve">   Cameroun</v>
      </c>
      <c r="C518">
        <v>22490368</v>
      </c>
      <c r="D518">
        <v>21299</v>
      </c>
    </row>
    <row r="519" spans="1:4" x14ac:dyDescent="0.25">
      <c r="A519" t="str">
        <f>T("391723")</f>
        <v>391723</v>
      </c>
      <c r="B519" t="str">
        <f>T("TUBES ET TUYAUX RIGIDES, EN POLYMÈRES DU CHLORURE DE VINYLE")</f>
        <v>TUBES ET TUYAUX RIGIDES, EN POLYMÈRES DU CHLORURE DE VINYLE</v>
      </c>
    </row>
    <row r="520" spans="1:4" x14ac:dyDescent="0.25">
      <c r="A520" t="str">
        <f>T("   ZZZ_Monde")</f>
        <v xml:space="preserve">   ZZZ_Monde</v>
      </c>
      <c r="B520" t="str">
        <f>T("   ZZZ_Monde")</f>
        <v xml:space="preserve">   ZZZ_Monde</v>
      </c>
      <c r="C520">
        <v>83448870</v>
      </c>
      <c r="D520">
        <v>108372.75</v>
      </c>
    </row>
    <row r="521" spans="1:4" x14ac:dyDescent="0.25">
      <c r="A521" t="str">
        <f>T("   GH")</f>
        <v xml:space="preserve">   GH</v>
      </c>
      <c r="B521" t="str">
        <f>T("   Ghana")</f>
        <v xml:space="preserve">   Ghana</v>
      </c>
      <c r="C521">
        <v>1255800</v>
      </c>
      <c r="D521">
        <v>1211</v>
      </c>
    </row>
    <row r="522" spans="1:4" x14ac:dyDescent="0.25">
      <c r="A522" t="str">
        <f>T("   TG")</f>
        <v xml:space="preserve">   TG</v>
      </c>
      <c r="B522" t="str">
        <f>T("   Togo")</f>
        <v xml:space="preserve">   Togo</v>
      </c>
      <c r="C522">
        <v>82193070</v>
      </c>
      <c r="D522">
        <v>107161.75</v>
      </c>
    </row>
    <row r="523" spans="1:4" x14ac:dyDescent="0.25">
      <c r="A523" t="str">
        <f>T("391729")</f>
        <v>391729</v>
      </c>
      <c r="B523" t="str">
        <f>T("TUBES ET TUYAUX RIGIDES, EN MATIÈRES PLASTIQUES (À L'EXCL. DES TUBES ET TUYAUX EN POLYMÈRES DE L'ÉTHYLÈNE, DU PROPYLÈNE OU DU CHLORURE DE VINYLE)")</f>
        <v>TUBES ET TUYAUX RIGIDES, EN MATIÈRES PLASTIQUES (À L'EXCL. DES TUBES ET TUYAUX EN POLYMÈRES DE L'ÉTHYLÈNE, DU PROPYLÈNE OU DU CHLORURE DE VINYLE)</v>
      </c>
    </row>
    <row r="524" spans="1:4" x14ac:dyDescent="0.25">
      <c r="A524" t="str">
        <f>T("   ZZZ_Monde")</f>
        <v xml:space="preserve">   ZZZ_Monde</v>
      </c>
      <c r="B524" t="str">
        <f>T("   ZZZ_Monde")</f>
        <v xml:space="preserve">   ZZZ_Monde</v>
      </c>
      <c r="C524">
        <v>2156404</v>
      </c>
      <c r="D524">
        <v>1395.23</v>
      </c>
    </row>
    <row r="525" spans="1:4" x14ac:dyDescent="0.25">
      <c r="A525" t="str">
        <f>T("   TG")</f>
        <v xml:space="preserve">   TG</v>
      </c>
      <c r="B525" t="str">
        <f>T("   Togo")</f>
        <v xml:space="preserve">   Togo</v>
      </c>
      <c r="C525">
        <v>2156404</v>
      </c>
      <c r="D525">
        <v>1395.23</v>
      </c>
    </row>
    <row r="526" spans="1:4" x14ac:dyDescent="0.25">
      <c r="A526" t="str">
        <f>T("391739")</f>
        <v>391739</v>
      </c>
      <c r="B526" t="str">
        <f>T("TUBES ET TUYAUX SOUPLES, EN MATIÈRES PLASTIQUES, RENFORCÉS D'AUTRES MATIÈRES OU ASSOCIÉS À D'AUTRES MATIÈRES (À L'EXCL. DES PRODUITS POUVANT SUPPORTER UNE PRESSION &gt;= 27,6 MPA)")</f>
        <v>TUBES ET TUYAUX SOUPLES, EN MATIÈRES PLASTIQUES, RENFORCÉS D'AUTRES MATIÈRES OU ASSOCIÉS À D'AUTRES MATIÈRES (À L'EXCL. DES PRODUITS POUVANT SUPPORTER UNE PRESSION &gt;= 27,6 MPA)</v>
      </c>
    </row>
    <row r="527" spans="1:4" x14ac:dyDescent="0.25">
      <c r="A527" t="str">
        <f>T("   ZZZ_Monde")</f>
        <v xml:space="preserve">   ZZZ_Monde</v>
      </c>
      <c r="B527" t="str">
        <f>T("   ZZZ_Monde")</f>
        <v xml:space="preserve">   ZZZ_Monde</v>
      </c>
      <c r="C527">
        <v>98218341</v>
      </c>
      <c r="D527">
        <v>82268</v>
      </c>
    </row>
    <row r="528" spans="1:4" x14ac:dyDescent="0.25">
      <c r="A528" t="str">
        <f>T("   CI")</f>
        <v xml:space="preserve">   CI</v>
      </c>
      <c r="B528" t="str">
        <f>T("   Côte d'Ivoire")</f>
        <v xml:space="preserve">   Côte d'Ivoire</v>
      </c>
      <c r="C528">
        <v>5000000</v>
      </c>
      <c r="D528">
        <v>27000</v>
      </c>
    </row>
    <row r="529" spans="1:4" x14ac:dyDescent="0.25">
      <c r="A529" t="str">
        <f>T("   GH")</f>
        <v xml:space="preserve">   GH</v>
      </c>
      <c r="B529" t="str">
        <f>T("   Ghana")</f>
        <v xml:space="preserve">   Ghana</v>
      </c>
      <c r="C529">
        <v>11418500</v>
      </c>
      <c r="D529">
        <v>10132.5</v>
      </c>
    </row>
    <row r="530" spans="1:4" x14ac:dyDescent="0.25">
      <c r="A530" t="str">
        <f>T("   TG")</f>
        <v xml:space="preserve">   TG</v>
      </c>
      <c r="B530" t="str">
        <f>T("   Togo")</f>
        <v xml:space="preserve">   Togo</v>
      </c>
      <c r="C530">
        <v>81799841</v>
      </c>
      <c r="D530">
        <v>45135.5</v>
      </c>
    </row>
    <row r="531" spans="1:4" x14ac:dyDescent="0.25">
      <c r="A531" t="str">
        <f>T("392020")</f>
        <v>392020</v>
      </c>
      <c r="B531" t="str">
        <f>T("PLAQUES, FEUILLES, PELLICULES, BANDES ET LAMES, EN POLYMÈRES DU PROPYLÈNE NON-ALVÉOLAIRES, NON-RENFORCÉES NI STRATIFIÉES, NI MUNIES D'UN SUPPORT, NI PAREILLEMENT ASSOCIÉES À D'AUTRES MATIÈRES, NON-TRAVAILLÉES OU SIMPL. OUVRÉES EN SURFACE OU SIMPL. DÉCOUPÉ")</f>
        <v>PLAQUES, FEUILLES, PELLICULES, BANDES ET LAMES, EN POLYMÈRES DU PROPYLÈNE NON-ALVÉOLAIRES, NON-RENFORCÉES NI STRATIFIÉES, NI MUNIES D'UN SUPPORT, NI PAREILLEMENT ASSOCIÉES À D'AUTRES MATIÈRES, NON-TRAVAILLÉES OU SIMPL. OUVRÉES EN SURFACE OU SIMPL. DÉCOUPÉ</v>
      </c>
    </row>
    <row r="532" spans="1:4" x14ac:dyDescent="0.25">
      <c r="A532" t="str">
        <f>T("   ZZZ_Monde")</f>
        <v xml:space="preserve">   ZZZ_Monde</v>
      </c>
      <c r="B532" t="str">
        <f>T("   ZZZ_Monde")</f>
        <v xml:space="preserve">   ZZZ_Monde</v>
      </c>
      <c r="C532">
        <v>136881429</v>
      </c>
      <c r="D532">
        <v>75318</v>
      </c>
    </row>
    <row r="533" spans="1:4" x14ac:dyDescent="0.25">
      <c r="A533" t="str">
        <f>T("   GA")</f>
        <v xml:space="preserve">   GA</v>
      </c>
      <c r="B533" t="str">
        <f>T("   Gabon")</f>
        <v xml:space="preserve">   Gabon</v>
      </c>
      <c r="C533">
        <v>1989074</v>
      </c>
      <c r="D533">
        <v>1047</v>
      </c>
    </row>
    <row r="534" spans="1:4" x14ac:dyDescent="0.25">
      <c r="A534" t="str">
        <f>T("   LR")</f>
        <v xml:space="preserve">   LR</v>
      </c>
      <c r="B534" t="str">
        <f>T("   Libéria")</f>
        <v xml:space="preserve">   Libéria</v>
      </c>
      <c r="C534">
        <v>871394</v>
      </c>
      <c r="D534">
        <v>500</v>
      </c>
    </row>
    <row r="535" spans="1:4" x14ac:dyDescent="0.25">
      <c r="A535" t="str">
        <f>T("   NE")</f>
        <v xml:space="preserve">   NE</v>
      </c>
      <c r="B535" t="str">
        <f>T("   Niger")</f>
        <v xml:space="preserve">   Niger</v>
      </c>
      <c r="C535">
        <v>27542823</v>
      </c>
      <c r="D535">
        <v>14436</v>
      </c>
    </row>
    <row r="536" spans="1:4" x14ac:dyDescent="0.25">
      <c r="A536" t="str">
        <f>T("   NG")</f>
        <v xml:space="preserve">   NG</v>
      </c>
      <c r="B536" t="str">
        <f>T("   Nigéria")</f>
        <v xml:space="preserve">   Nigéria</v>
      </c>
      <c r="C536">
        <v>97097115</v>
      </c>
      <c r="D536">
        <v>54365</v>
      </c>
    </row>
    <row r="537" spans="1:4" x14ac:dyDescent="0.25">
      <c r="A537" t="str">
        <f>T("   TG")</f>
        <v xml:space="preserve">   TG</v>
      </c>
      <c r="B537" t="str">
        <f>T("   Togo")</f>
        <v xml:space="preserve">   Togo</v>
      </c>
      <c r="C537">
        <v>9381023</v>
      </c>
      <c r="D537">
        <v>4970</v>
      </c>
    </row>
    <row r="538" spans="1:4" x14ac:dyDescent="0.25">
      <c r="A538" t="str">
        <f>T("392310")</f>
        <v>392310</v>
      </c>
      <c r="B538" t="str">
        <f>T("Boîtes, caisses, casiers et articles simil. pour le transport ou l'emballage, en matières plastiques")</f>
        <v>Boîtes, caisses, casiers et articles simil. pour le transport ou l'emballage, en matières plastiques</v>
      </c>
    </row>
    <row r="539" spans="1:4" x14ac:dyDescent="0.25">
      <c r="A539" t="str">
        <f>T("   ZZZ_Monde")</f>
        <v xml:space="preserve">   ZZZ_Monde</v>
      </c>
      <c r="B539" t="str">
        <f>T("   ZZZ_Monde")</f>
        <v xml:space="preserve">   ZZZ_Monde</v>
      </c>
      <c r="C539">
        <v>15678000</v>
      </c>
      <c r="D539">
        <v>13065</v>
      </c>
    </row>
    <row r="540" spans="1:4" x14ac:dyDescent="0.25">
      <c r="A540" t="str">
        <f>T("   TG")</f>
        <v xml:space="preserve">   TG</v>
      </c>
      <c r="B540" t="str">
        <f>T("   Togo")</f>
        <v xml:space="preserve">   Togo</v>
      </c>
      <c r="C540">
        <v>15678000</v>
      </c>
      <c r="D540">
        <v>13065</v>
      </c>
    </row>
    <row r="541" spans="1:4" x14ac:dyDescent="0.25">
      <c r="A541" t="str">
        <f>T("392321")</f>
        <v>392321</v>
      </c>
      <c r="B541" t="str">
        <f>T("Sacs, sachets, pochettes et cornets, en polymères de l'éthylène")</f>
        <v>Sacs, sachets, pochettes et cornets, en polymères de l'éthylène</v>
      </c>
    </row>
    <row r="542" spans="1:4" x14ac:dyDescent="0.25">
      <c r="A542" t="str">
        <f>T("   ZZZ_Monde")</f>
        <v xml:space="preserve">   ZZZ_Monde</v>
      </c>
      <c r="B542" t="str">
        <f>T("   ZZZ_Monde")</f>
        <v xml:space="preserve">   ZZZ_Monde</v>
      </c>
      <c r="C542">
        <v>10015694</v>
      </c>
      <c r="D542">
        <v>3257.96</v>
      </c>
    </row>
    <row r="543" spans="1:4" x14ac:dyDescent="0.25">
      <c r="A543" t="str">
        <f>T("   NL")</f>
        <v xml:space="preserve">   NL</v>
      </c>
      <c r="B543" t="str">
        <f>T("   Pays-bas")</f>
        <v xml:space="preserve">   Pays-bas</v>
      </c>
      <c r="C543">
        <v>10015694</v>
      </c>
      <c r="D543">
        <v>3257.96</v>
      </c>
    </row>
    <row r="544" spans="1:4" x14ac:dyDescent="0.25">
      <c r="A544" t="str">
        <f>T("392329")</f>
        <v>392329</v>
      </c>
      <c r="B544" t="str">
        <f>T("Sacs, sachets, pochettes et cornets, en matières plastiques (autres que les polymères de l'éthylène)")</f>
        <v>Sacs, sachets, pochettes et cornets, en matières plastiques (autres que les polymères de l'éthylène)</v>
      </c>
    </row>
    <row r="545" spans="1:4" x14ac:dyDescent="0.25">
      <c r="A545" t="str">
        <f>T("   ZZZ_Monde")</f>
        <v xml:space="preserve">   ZZZ_Monde</v>
      </c>
      <c r="B545" t="str">
        <f>T("   ZZZ_Monde")</f>
        <v xml:space="preserve">   ZZZ_Monde</v>
      </c>
      <c r="C545">
        <v>48509546</v>
      </c>
      <c r="D545">
        <v>36600</v>
      </c>
    </row>
    <row r="546" spans="1:4" x14ac:dyDescent="0.25">
      <c r="A546" t="str">
        <f>T("   CH")</f>
        <v xml:space="preserve">   CH</v>
      </c>
      <c r="B546" t="str">
        <f>T("   Suisse")</f>
        <v xml:space="preserve">   Suisse</v>
      </c>
      <c r="C546">
        <v>39522546</v>
      </c>
      <c r="D546">
        <v>29600</v>
      </c>
    </row>
    <row r="547" spans="1:4" x14ac:dyDescent="0.25">
      <c r="A547" t="str">
        <f>T("   TG")</f>
        <v xml:space="preserve">   TG</v>
      </c>
      <c r="B547" t="str">
        <f>T("   Togo")</f>
        <v xml:space="preserve">   Togo</v>
      </c>
      <c r="C547">
        <v>8987000</v>
      </c>
      <c r="D547">
        <v>7000</v>
      </c>
    </row>
    <row r="548" spans="1:4" x14ac:dyDescent="0.25">
      <c r="A548" t="str">
        <f>T("392330")</f>
        <v>392330</v>
      </c>
      <c r="B548" t="str">
        <f>T("Bonbonnes, bouteilles, flacons et articles simil. pour le transport ou l'emballage, en matières plastiques")</f>
        <v>Bonbonnes, bouteilles, flacons et articles simil. pour le transport ou l'emballage, en matières plastiques</v>
      </c>
    </row>
    <row r="549" spans="1:4" x14ac:dyDescent="0.25">
      <c r="A549" t="str">
        <f>T("   ZZZ_Monde")</f>
        <v xml:space="preserve">   ZZZ_Monde</v>
      </c>
      <c r="B549" t="str">
        <f>T("   ZZZ_Monde")</f>
        <v xml:space="preserve">   ZZZ_Monde</v>
      </c>
      <c r="C549">
        <v>264871746</v>
      </c>
      <c r="D549">
        <v>181051</v>
      </c>
    </row>
    <row r="550" spans="1:4" x14ac:dyDescent="0.25">
      <c r="A550" t="str">
        <f>T("   BF")</f>
        <v xml:space="preserve">   BF</v>
      </c>
      <c r="B550" t="str">
        <f>T("   Burkina Faso")</f>
        <v xml:space="preserve">   Burkina Faso</v>
      </c>
      <c r="C550">
        <v>214606146</v>
      </c>
      <c r="D550">
        <v>147541</v>
      </c>
    </row>
    <row r="551" spans="1:4" x14ac:dyDescent="0.25">
      <c r="A551" t="str">
        <f>T("   NE")</f>
        <v xml:space="preserve">   NE</v>
      </c>
      <c r="B551" t="str">
        <f>T("   Niger")</f>
        <v xml:space="preserve">   Niger</v>
      </c>
      <c r="C551">
        <v>50265600</v>
      </c>
      <c r="D551">
        <v>33510</v>
      </c>
    </row>
    <row r="552" spans="1:4" x14ac:dyDescent="0.25">
      <c r="A552" t="str">
        <f>T("392350")</f>
        <v>392350</v>
      </c>
      <c r="B552" t="str">
        <f>T("Bouchons, couvercles, capsules et autres dispositifs de fermeture, en matières plastiques")</f>
        <v>Bouchons, couvercles, capsules et autres dispositifs de fermeture, en matières plastiques</v>
      </c>
    </row>
    <row r="553" spans="1:4" x14ac:dyDescent="0.25">
      <c r="A553" t="str">
        <f>T("   ZZZ_Monde")</f>
        <v xml:space="preserve">   ZZZ_Monde</v>
      </c>
      <c r="B553" t="str">
        <f>T("   ZZZ_Monde")</f>
        <v xml:space="preserve">   ZZZ_Monde</v>
      </c>
      <c r="C553">
        <v>1422778</v>
      </c>
      <c r="D553">
        <v>250</v>
      </c>
    </row>
    <row r="554" spans="1:4" x14ac:dyDescent="0.25">
      <c r="A554" t="str">
        <f>T("   LY")</f>
        <v xml:space="preserve">   LY</v>
      </c>
      <c r="B554" t="str">
        <f>T("   Libyenne, Jamahiriya Arabe")</f>
        <v xml:space="preserve">   Libyenne, Jamahiriya Arabe</v>
      </c>
      <c r="C554">
        <v>1422778</v>
      </c>
      <c r="D554">
        <v>250</v>
      </c>
    </row>
    <row r="555" spans="1:4" x14ac:dyDescent="0.25">
      <c r="A555" t="str">
        <f>T("392390")</f>
        <v>392390</v>
      </c>
      <c r="B555" t="str">
        <f>T("Articles de transport ou d'emballage, en matières plastiques (à l'excl. des boîtes, caisses, casiers et articles simil., des sacs, sachets, pochettes et cornets, des bonbonnes, bouteilles, flacons et articles simil., des bobines, fusettes, canettes et sup")</f>
        <v>Articles de transport ou d'emballage, en matières plastiques (à l'excl. des boîtes, caisses, casiers et articles simil., des sacs, sachets, pochettes et cornets, des bonbonnes, bouteilles, flacons et articles simil., des bobines, fusettes, canettes et sup</v>
      </c>
    </row>
    <row r="556" spans="1:4" x14ac:dyDescent="0.25">
      <c r="A556" t="str">
        <f>T("   ZZZ_Monde")</f>
        <v xml:space="preserve">   ZZZ_Monde</v>
      </c>
      <c r="B556" t="str">
        <f>T("   ZZZ_Monde")</f>
        <v xml:space="preserve">   ZZZ_Monde</v>
      </c>
      <c r="C556">
        <v>43662649</v>
      </c>
      <c r="D556">
        <v>16084</v>
      </c>
    </row>
    <row r="557" spans="1:4" x14ac:dyDescent="0.25">
      <c r="A557" t="str">
        <f>T("   GA")</f>
        <v xml:space="preserve">   GA</v>
      </c>
      <c r="B557" t="str">
        <f>T("   Gabon")</f>
        <v xml:space="preserve">   Gabon</v>
      </c>
      <c r="C557">
        <v>300000</v>
      </c>
      <c r="D557">
        <v>500</v>
      </c>
    </row>
    <row r="558" spans="1:4" x14ac:dyDescent="0.25">
      <c r="A558" t="str">
        <f>T("   MY")</f>
        <v xml:space="preserve">   MY</v>
      </c>
      <c r="B558" t="str">
        <f>T("   Malaisie")</f>
        <v xml:space="preserve">   Malaisie</v>
      </c>
      <c r="C558">
        <v>36587231</v>
      </c>
      <c r="D558">
        <v>13149</v>
      </c>
    </row>
    <row r="559" spans="1:4" x14ac:dyDescent="0.25">
      <c r="A559" t="str">
        <f>T("   NL")</f>
        <v xml:space="preserve">   NL</v>
      </c>
      <c r="B559" t="str">
        <f>T("   Pays-bas")</f>
        <v xml:space="preserve">   Pays-bas</v>
      </c>
      <c r="C559">
        <v>2258471</v>
      </c>
      <c r="D559">
        <v>812</v>
      </c>
    </row>
    <row r="560" spans="1:4" x14ac:dyDescent="0.25">
      <c r="A560" t="str">
        <f>T("   SN")</f>
        <v xml:space="preserve">   SN</v>
      </c>
      <c r="B560" t="str">
        <f>T("   Sénégal")</f>
        <v xml:space="preserve">   Sénégal</v>
      </c>
      <c r="C560">
        <v>4516947</v>
      </c>
      <c r="D560">
        <v>1623</v>
      </c>
    </row>
    <row r="561" spans="1:4" x14ac:dyDescent="0.25">
      <c r="A561" t="str">
        <f>T("392410")</f>
        <v>392410</v>
      </c>
      <c r="B561" t="str">
        <f>T("Vaisselle et autres articles pour le service de la table ou de la cuisine, en matières plastiques")</f>
        <v>Vaisselle et autres articles pour le service de la table ou de la cuisine, en matières plastiques</v>
      </c>
    </row>
    <row r="562" spans="1:4" x14ac:dyDescent="0.25">
      <c r="A562" t="str">
        <f>T("   ZZZ_Monde")</f>
        <v xml:space="preserve">   ZZZ_Monde</v>
      </c>
      <c r="B562" t="str">
        <f>T("   ZZZ_Monde")</f>
        <v xml:space="preserve">   ZZZ_Monde</v>
      </c>
      <c r="C562">
        <v>850000</v>
      </c>
      <c r="D562">
        <v>350</v>
      </c>
    </row>
    <row r="563" spans="1:4" x14ac:dyDescent="0.25">
      <c r="A563" t="str">
        <f>T("   GA")</f>
        <v xml:space="preserve">   GA</v>
      </c>
      <c r="B563" t="str">
        <f>T("   Gabon")</f>
        <v xml:space="preserve">   Gabon</v>
      </c>
      <c r="C563">
        <v>850000</v>
      </c>
      <c r="D563">
        <v>350</v>
      </c>
    </row>
    <row r="564" spans="1:4" x14ac:dyDescent="0.25">
      <c r="A564" t="str">
        <f>T("392490")</f>
        <v>392490</v>
      </c>
      <c r="B564" t="str">
        <f>T("Articles de ménage ou d'économie domestique et articles d'hygiène ou de toilette, en matières plastiques (à l'excl. de la vaisselle et des articles pour usages sanitaires ou hygiéniques tels que baignoires, douches, lavabos, bidets, réservoirs de chasse,")</f>
        <v>Articles de ménage ou d'économie domestique et articles d'hygiène ou de toilette, en matières plastiques (à l'excl. de la vaisselle et des articles pour usages sanitaires ou hygiéniques tels que baignoires, douches, lavabos, bidets, réservoirs de chasse,</v>
      </c>
    </row>
    <row r="565" spans="1:4" x14ac:dyDescent="0.25">
      <c r="A565" t="str">
        <f>T("   ZZZ_Monde")</f>
        <v xml:space="preserve">   ZZZ_Monde</v>
      </c>
      <c r="B565" t="str">
        <f>T("   ZZZ_Monde")</f>
        <v xml:space="preserve">   ZZZ_Monde</v>
      </c>
      <c r="C565">
        <v>3655000</v>
      </c>
      <c r="D565">
        <v>20210</v>
      </c>
    </row>
    <row r="566" spans="1:4" x14ac:dyDescent="0.25">
      <c r="A566" t="str">
        <f>T("   GA")</f>
        <v xml:space="preserve">   GA</v>
      </c>
      <c r="B566" t="str">
        <f>T("   Gabon")</f>
        <v xml:space="preserve">   Gabon</v>
      </c>
      <c r="C566">
        <v>3655000</v>
      </c>
      <c r="D566">
        <v>20210</v>
      </c>
    </row>
    <row r="567" spans="1:4" x14ac:dyDescent="0.25">
      <c r="A567" t="str">
        <f>T("392640")</f>
        <v>392640</v>
      </c>
      <c r="B567" t="str">
        <f>T("Statuettes et autres objets d'ornementation, en matières plastiques")</f>
        <v>Statuettes et autres objets d'ornementation, en matières plastiques</v>
      </c>
    </row>
    <row r="568" spans="1:4" x14ac:dyDescent="0.25">
      <c r="A568" t="str">
        <f>T("   ZZZ_Monde")</f>
        <v xml:space="preserve">   ZZZ_Monde</v>
      </c>
      <c r="B568" t="str">
        <f>T("   ZZZ_Monde")</f>
        <v xml:space="preserve">   ZZZ_Monde</v>
      </c>
      <c r="C568">
        <v>1200000</v>
      </c>
      <c r="D568">
        <v>2810</v>
      </c>
    </row>
    <row r="569" spans="1:4" x14ac:dyDescent="0.25">
      <c r="A569" t="str">
        <f>T("   DE")</f>
        <v xml:space="preserve">   DE</v>
      </c>
      <c r="B569" t="str">
        <f>T("   Allemagne")</f>
        <v xml:space="preserve">   Allemagne</v>
      </c>
      <c r="C569">
        <v>1200000</v>
      </c>
      <c r="D569">
        <v>2810</v>
      </c>
    </row>
    <row r="570" spans="1:4" x14ac:dyDescent="0.25">
      <c r="A570" t="str">
        <f>T("392690")</f>
        <v>392690</v>
      </c>
      <c r="B570" t="str">
        <f>T("Ouvrages en matières plastiques et ouvrages en autres matières du n° 3901 à 3914, n.d.a.")</f>
        <v>Ouvrages en matières plastiques et ouvrages en autres matières du n° 3901 à 3914, n.d.a.</v>
      </c>
    </row>
    <row r="571" spans="1:4" x14ac:dyDescent="0.25">
      <c r="A571" t="str">
        <f>T("   ZZZ_Monde")</f>
        <v xml:space="preserve">   ZZZ_Monde</v>
      </c>
      <c r="B571" t="str">
        <f>T("   ZZZ_Monde")</f>
        <v xml:space="preserve">   ZZZ_Monde</v>
      </c>
      <c r="C571">
        <v>3443200</v>
      </c>
      <c r="D571">
        <v>30738</v>
      </c>
    </row>
    <row r="572" spans="1:4" x14ac:dyDescent="0.25">
      <c r="A572" t="str">
        <f>T("   FR")</f>
        <v xml:space="preserve">   FR</v>
      </c>
      <c r="B572" t="str">
        <f>T("   France")</f>
        <v xml:space="preserve">   France</v>
      </c>
      <c r="C572">
        <v>500000</v>
      </c>
      <c r="D572">
        <v>7988</v>
      </c>
    </row>
    <row r="573" spans="1:4" x14ac:dyDescent="0.25">
      <c r="A573" t="str">
        <f>T("   GA")</f>
        <v xml:space="preserve">   GA</v>
      </c>
      <c r="B573" t="str">
        <f>T("   Gabon")</f>
        <v xml:space="preserve">   Gabon</v>
      </c>
      <c r="C573">
        <v>2400000</v>
      </c>
      <c r="D573">
        <v>22550</v>
      </c>
    </row>
    <row r="574" spans="1:4" x14ac:dyDescent="0.25">
      <c r="A574" t="str">
        <f>T("   TG")</f>
        <v xml:space="preserve">   TG</v>
      </c>
      <c r="B574" t="str">
        <f>T("   Togo")</f>
        <v xml:space="preserve">   Togo</v>
      </c>
      <c r="C574">
        <v>543200</v>
      </c>
      <c r="D574">
        <v>200</v>
      </c>
    </row>
    <row r="575" spans="1:4" x14ac:dyDescent="0.25">
      <c r="A575" t="str">
        <f>T("400922")</f>
        <v>400922</v>
      </c>
      <c r="B575" t="str">
        <f>T("TUBES ET TUYAUX EN CAOUTCHOUC VULCANISÉ NON DURCI, RENFORCÉS SEULEMENT À L'AIDE DE MÉTAL OU AUTREMENT ASSOCIÉS SEULEMENT À DU MÉTAL, AVEC ACCESSOIRES [JOINTS, COUDES, RACCORDS, PAR EXEMPLE]")</f>
        <v>TUBES ET TUYAUX EN CAOUTCHOUC VULCANISÉ NON DURCI, RENFORCÉS SEULEMENT À L'AIDE DE MÉTAL OU AUTREMENT ASSOCIÉS SEULEMENT À DU MÉTAL, AVEC ACCESSOIRES [JOINTS, COUDES, RACCORDS, PAR EXEMPLE]</v>
      </c>
    </row>
    <row r="576" spans="1:4" x14ac:dyDescent="0.25">
      <c r="A576" t="str">
        <f>T("   ZZZ_Monde")</f>
        <v xml:space="preserve">   ZZZ_Monde</v>
      </c>
      <c r="B576" t="str">
        <f>T("   ZZZ_Monde")</f>
        <v xml:space="preserve">   ZZZ_Monde</v>
      </c>
      <c r="C576">
        <v>379788</v>
      </c>
      <c r="D576">
        <v>223</v>
      </c>
    </row>
    <row r="577" spans="1:4" x14ac:dyDescent="0.25">
      <c r="A577" t="str">
        <f>T("   NG")</f>
        <v xml:space="preserve">   NG</v>
      </c>
      <c r="B577" t="str">
        <f>T("   Nigéria")</f>
        <v xml:space="preserve">   Nigéria</v>
      </c>
      <c r="C577">
        <v>379788</v>
      </c>
      <c r="D577">
        <v>223</v>
      </c>
    </row>
    <row r="578" spans="1:4" x14ac:dyDescent="0.25">
      <c r="A578" t="str">
        <f>T("400941")</f>
        <v>400941</v>
      </c>
      <c r="B578" t="str">
        <f>T("Tubes et tuyaux en caoutchouc vulcanisé non durci, renforcés à l'aide d'autres matières que le métal ou les matières textiles ou autrement associés à d'autres matières que le métal ou les matières textiles, sans accessoires")</f>
        <v>Tubes et tuyaux en caoutchouc vulcanisé non durci, renforcés à l'aide d'autres matières que le métal ou les matières textiles ou autrement associés à d'autres matières que le métal ou les matières textiles, sans accessoires</v>
      </c>
    </row>
    <row r="579" spans="1:4" x14ac:dyDescent="0.25">
      <c r="A579" t="str">
        <f>T("   ZZZ_Monde")</f>
        <v xml:space="preserve">   ZZZ_Monde</v>
      </c>
      <c r="B579" t="str">
        <f>T("   ZZZ_Monde")</f>
        <v xml:space="preserve">   ZZZ_Monde</v>
      </c>
      <c r="C579">
        <v>11228874</v>
      </c>
      <c r="D579">
        <v>14588</v>
      </c>
    </row>
    <row r="580" spans="1:4" x14ac:dyDescent="0.25">
      <c r="A580" t="str">
        <f>T("   GH")</f>
        <v xml:space="preserve">   GH</v>
      </c>
      <c r="B580" t="str">
        <f>T("   Ghana")</f>
        <v xml:space="preserve">   Ghana</v>
      </c>
      <c r="C580">
        <v>11228874</v>
      </c>
      <c r="D580">
        <v>14588</v>
      </c>
    </row>
    <row r="581" spans="1:4" x14ac:dyDescent="0.25">
      <c r="A581" t="str">
        <f>T("401019")</f>
        <v>401019</v>
      </c>
      <c r="B581" t="str">
        <f>T("Courroies transporteuses, en caoutchouc vulcanisé (à l'excl. des produits renforcés seulement de métal, de matières textiles ou de matières plastiques)")</f>
        <v>Courroies transporteuses, en caoutchouc vulcanisé (à l'excl. des produits renforcés seulement de métal, de matières textiles ou de matières plastiques)</v>
      </c>
    </row>
    <row r="582" spans="1:4" x14ac:dyDescent="0.25">
      <c r="A582" t="str">
        <f>T("   ZZZ_Monde")</f>
        <v xml:space="preserve">   ZZZ_Monde</v>
      </c>
      <c r="B582" t="str">
        <f>T("   ZZZ_Monde")</f>
        <v xml:space="preserve">   ZZZ_Monde</v>
      </c>
      <c r="C582">
        <v>16224750</v>
      </c>
      <c r="D582">
        <v>7860</v>
      </c>
    </row>
    <row r="583" spans="1:4" x14ac:dyDescent="0.25">
      <c r="A583" t="str">
        <f>T("   TG")</f>
        <v xml:space="preserve">   TG</v>
      </c>
      <c r="B583" t="str">
        <f>T("   Togo")</f>
        <v xml:space="preserve">   Togo</v>
      </c>
      <c r="C583">
        <v>16224750</v>
      </c>
      <c r="D583">
        <v>7860</v>
      </c>
    </row>
    <row r="584" spans="1:4" x14ac:dyDescent="0.25">
      <c r="A584" t="str">
        <f>T("401039")</f>
        <v>401039</v>
      </c>
      <c r="B584" t="str">
        <f>T("COURROIES DE TRANSMISSION, EN CAOUTCHOUC VULCANISÉ (À L'EXCL. DE COURROIES DE TRANSMISSION SANS FIN DE SECTION TRAPÉZOÏDALE, STRIÉES, D'UNE CIRCONFÉRENCE EXTÉRIEURE &gt; 60 CM MAIS &lt;= 240 CM ET DES COURROIES DE TRANSMISSION SANS FIN, CRANTÉES 'SYNCHRONES', D")</f>
        <v>COURROIES DE TRANSMISSION, EN CAOUTCHOUC VULCANISÉ (À L'EXCL. DE COURROIES DE TRANSMISSION SANS FIN DE SECTION TRAPÉZOÏDALE, STRIÉES, D'UNE CIRCONFÉRENCE EXTÉRIEURE &gt; 60 CM MAIS &lt;= 240 CM ET DES COURROIES DE TRANSMISSION SANS FIN, CRANTÉES 'SYNCHRONES', D</v>
      </c>
    </row>
    <row r="585" spans="1:4" x14ac:dyDescent="0.25">
      <c r="A585" t="str">
        <f>T("   ZZZ_Monde")</f>
        <v xml:space="preserve">   ZZZ_Monde</v>
      </c>
      <c r="B585" t="str">
        <f>T("   ZZZ_Monde")</f>
        <v xml:space="preserve">   ZZZ_Monde</v>
      </c>
      <c r="C585">
        <v>65596</v>
      </c>
      <c r="D585">
        <v>10</v>
      </c>
    </row>
    <row r="586" spans="1:4" x14ac:dyDescent="0.25">
      <c r="A586" t="str">
        <f>T("   NL")</f>
        <v xml:space="preserve">   NL</v>
      </c>
      <c r="B586" t="str">
        <f>T("   Pays-bas")</f>
        <v xml:space="preserve">   Pays-bas</v>
      </c>
      <c r="C586">
        <v>65596</v>
      </c>
      <c r="D586">
        <v>10</v>
      </c>
    </row>
    <row r="587" spans="1:4" x14ac:dyDescent="0.25">
      <c r="A587" t="str">
        <f>T("401110")</f>
        <v>401110</v>
      </c>
      <c r="B587" t="str">
        <f>T("Pneumatiques neufs, en caoutchouc, des types utilisés pour les voitures de tourisme, y.c. les voitures du type 'break' et les voitures de course")</f>
        <v>Pneumatiques neufs, en caoutchouc, des types utilisés pour les voitures de tourisme, y.c. les voitures du type 'break' et les voitures de course</v>
      </c>
    </row>
    <row r="588" spans="1:4" x14ac:dyDescent="0.25">
      <c r="A588" t="str">
        <f>T("   ZZZ_Monde")</f>
        <v xml:space="preserve">   ZZZ_Monde</v>
      </c>
      <c r="B588" t="str">
        <f>T("   ZZZ_Monde")</f>
        <v xml:space="preserve">   ZZZ_Monde</v>
      </c>
      <c r="C588">
        <v>5500000</v>
      </c>
      <c r="D588">
        <v>22160</v>
      </c>
    </row>
    <row r="589" spans="1:4" x14ac:dyDescent="0.25">
      <c r="A589" t="str">
        <f>T("   AE")</f>
        <v xml:space="preserve">   AE</v>
      </c>
      <c r="B589" t="str">
        <f>T("   Emirats Arabes Unis")</f>
        <v xml:space="preserve">   Emirats Arabes Unis</v>
      </c>
      <c r="C589">
        <v>5500000</v>
      </c>
      <c r="D589">
        <v>22160</v>
      </c>
    </row>
    <row r="590" spans="1:4" x14ac:dyDescent="0.25">
      <c r="A590" t="str">
        <f>T("401199")</f>
        <v>401199</v>
      </c>
      <c r="B590" t="str">
        <f>T("Pneumatiques neufs, en caoutchouc (à l'excl. des pneumatiques à crampons, à chevrons ou simil. ainsi que des pneumatiques des types utilisés pour les véhicules et engins agricoles et forestiers, de génie civil et de manutention industrielle, pour les voit")</f>
        <v>Pneumatiques neufs, en caoutchouc (à l'excl. des pneumatiques à crampons, à chevrons ou simil. ainsi que des pneumatiques des types utilisés pour les véhicules et engins agricoles et forestiers, de génie civil et de manutention industrielle, pour les voit</v>
      </c>
    </row>
    <row r="591" spans="1:4" x14ac:dyDescent="0.25">
      <c r="A591" t="str">
        <f>T("   ZZZ_Monde")</f>
        <v xml:space="preserve">   ZZZ_Monde</v>
      </c>
      <c r="B591" t="str">
        <f>T("   ZZZ_Monde")</f>
        <v xml:space="preserve">   ZZZ_Monde</v>
      </c>
      <c r="C591">
        <v>250134472</v>
      </c>
      <c r="D591">
        <v>43442</v>
      </c>
    </row>
    <row r="592" spans="1:4" x14ac:dyDescent="0.25">
      <c r="A592" t="str">
        <f>T("   ES")</f>
        <v xml:space="preserve">   ES</v>
      </c>
      <c r="B592" t="str">
        <f>T("   Espagne")</f>
        <v xml:space="preserve">   Espagne</v>
      </c>
      <c r="C592">
        <v>250134472</v>
      </c>
      <c r="D592">
        <v>43442</v>
      </c>
    </row>
    <row r="593" spans="1:4" x14ac:dyDescent="0.25">
      <c r="A593" t="str">
        <f>T("401211")</f>
        <v>401211</v>
      </c>
      <c r="B593" t="str">
        <f>T("Pneumatiques rechapés, en caoutchouc, des types utilisés pour les voitures de tourisme, y.c. les voitures du type 'break' et les voitures de course")</f>
        <v>Pneumatiques rechapés, en caoutchouc, des types utilisés pour les voitures de tourisme, y.c. les voitures du type 'break' et les voitures de course</v>
      </c>
    </row>
    <row r="594" spans="1:4" x14ac:dyDescent="0.25">
      <c r="A594" t="str">
        <f>T("   ZZZ_Monde")</f>
        <v xml:space="preserve">   ZZZ_Monde</v>
      </c>
      <c r="B594" t="str">
        <f>T("   ZZZ_Monde")</f>
        <v xml:space="preserve">   ZZZ_Monde</v>
      </c>
      <c r="C594">
        <v>5200000</v>
      </c>
      <c r="D594">
        <v>1200</v>
      </c>
    </row>
    <row r="595" spans="1:4" x14ac:dyDescent="0.25">
      <c r="A595" t="str">
        <f>T("   GA")</f>
        <v xml:space="preserve">   GA</v>
      </c>
      <c r="B595" t="str">
        <f>T("   Gabon")</f>
        <v xml:space="preserve">   Gabon</v>
      </c>
      <c r="C595">
        <v>5200000</v>
      </c>
      <c r="D595">
        <v>1200</v>
      </c>
    </row>
    <row r="596" spans="1:4" x14ac:dyDescent="0.25">
      <c r="A596" t="str">
        <f>T("401212")</f>
        <v>401212</v>
      </c>
      <c r="B596" t="str">
        <f>T("Pneumatiques rechapés, en caoutchouc, des types utilisés pour les autobus ou camions")</f>
        <v>Pneumatiques rechapés, en caoutchouc, des types utilisés pour les autobus ou camions</v>
      </c>
    </row>
    <row r="597" spans="1:4" x14ac:dyDescent="0.25">
      <c r="A597" t="str">
        <f>T("   ZZZ_Monde")</f>
        <v xml:space="preserve">   ZZZ_Monde</v>
      </c>
      <c r="B597" t="str">
        <f>T("   ZZZ_Monde")</f>
        <v xml:space="preserve">   ZZZ_Monde</v>
      </c>
      <c r="C597">
        <v>1121500</v>
      </c>
      <c r="D597">
        <v>1000</v>
      </c>
    </row>
    <row r="598" spans="1:4" x14ac:dyDescent="0.25">
      <c r="A598" t="str">
        <f>T("   GN")</f>
        <v xml:space="preserve">   GN</v>
      </c>
      <c r="B598" t="str">
        <f>T("   Guinée")</f>
        <v xml:space="preserve">   Guinée</v>
      </c>
      <c r="C598">
        <v>1121500</v>
      </c>
      <c r="D598">
        <v>1000</v>
      </c>
    </row>
    <row r="599" spans="1:4" x14ac:dyDescent="0.25">
      <c r="A599" t="str">
        <f>T("401220")</f>
        <v>401220</v>
      </c>
      <c r="B599" t="str">
        <f>T("Pneumatiques usagés, en caoutchouc")</f>
        <v>Pneumatiques usagés, en caoutchouc</v>
      </c>
    </row>
    <row r="600" spans="1:4" x14ac:dyDescent="0.25">
      <c r="A600" t="str">
        <f>T("   ZZZ_Monde")</f>
        <v xml:space="preserve">   ZZZ_Monde</v>
      </c>
      <c r="B600" t="str">
        <f>T("   ZZZ_Monde")</f>
        <v xml:space="preserve">   ZZZ_Monde</v>
      </c>
      <c r="C600">
        <v>27000000</v>
      </c>
      <c r="D600">
        <v>64000</v>
      </c>
    </row>
    <row r="601" spans="1:4" x14ac:dyDescent="0.25">
      <c r="A601" t="str">
        <f>T("   CG")</f>
        <v xml:space="preserve">   CG</v>
      </c>
      <c r="B601" t="str">
        <f>T("   Congo (Brazzaville)")</f>
        <v xml:space="preserve">   Congo (Brazzaville)</v>
      </c>
      <c r="C601">
        <v>24000000</v>
      </c>
      <c r="D601">
        <v>53000</v>
      </c>
    </row>
    <row r="602" spans="1:4" x14ac:dyDescent="0.25">
      <c r="A602" t="str">
        <f>T("   GN")</f>
        <v xml:space="preserve">   GN</v>
      </c>
      <c r="B602" t="str">
        <f>T("   Guinée")</f>
        <v xml:space="preserve">   Guinée</v>
      </c>
      <c r="C602">
        <v>3000000</v>
      </c>
      <c r="D602">
        <v>11000</v>
      </c>
    </row>
    <row r="603" spans="1:4" x14ac:dyDescent="0.25">
      <c r="A603" t="str">
        <f>T("401390")</f>
        <v>401390</v>
      </c>
      <c r="B603" t="str">
        <f>T("Chambres à air, en caoutchouc (à l'excl. des chambres à air des types utilisés pour les voitures de tourisme, les voitures du type 'break', les voitures de course, les autobus, les camions et les bicyclettes)")</f>
        <v>Chambres à air, en caoutchouc (à l'excl. des chambres à air des types utilisés pour les voitures de tourisme, les voitures du type 'break', les voitures de course, les autobus, les camions et les bicyclettes)</v>
      </c>
    </row>
    <row r="604" spans="1:4" x14ac:dyDescent="0.25">
      <c r="A604" t="str">
        <f>T("   ZZZ_Monde")</f>
        <v xml:space="preserve">   ZZZ_Monde</v>
      </c>
      <c r="B604" t="str">
        <f>T("   ZZZ_Monde")</f>
        <v xml:space="preserve">   ZZZ_Monde</v>
      </c>
      <c r="C604">
        <v>2625000</v>
      </c>
      <c r="D604">
        <v>2000</v>
      </c>
    </row>
    <row r="605" spans="1:4" x14ac:dyDescent="0.25">
      <c r="A605" t="str">
        <f>T("   GQ")</f>
        <v xml:space="preserve">   GQ</v>
      </c>
      <c r="B605" t="str">
        <f>T("   Guinée Equatoriale")</f>
        <v xml:space="preserve">   Guinée Equatoriale</v>
      </c>
      <c r="C605">
        <v>2625000</v>
      </c>
      <c r="D605">
        <v>2000</v>
      </c>
    </row>
    <row r="606" spans="1:4" x14ac:dyDescent="0.25">
      <c r="A606" t="str">
        <f>T("410150")</f>
        <v>410150</v>
      </c>
      <c r="B606" t="str">
        <f>T("Cuirs et peaux bruts entiers de bovins [y.c. les buffles] ou d'équidés, même épilés ou refendus, d'un poids unitaire &gt; 16 kg, frais, ou salés, séchés, chaulés, picklés ou autrement conservés (à l'excl. des cuirs et peaux tannés, parcheminés ou autrement p")</f>
        <v>Cuirs et peaux bruts entiers de bovins [y.c. les buffles] ou d'équidés, même épilés ou refendus, d'un poids unitaire &gt; 16 kg, frais, ou salés, séchés, chaulés, picklés ou autrement conservés (à l'excl. des cuirs et peaux tannés, parcheminés ou autrement p</v>
      </c>
    </row>
    <row r="607" spans="1:4" x14ac:dyDescent="0.25">
      <c r="A607" t="str">
        <f>T("   ZZZ_Monde")</f>
        <v xml:space="preserve">   ZZZ_Monde</v>
      </c>
      <c r="B607" t="str">
        <f>T("   ZZZ_Monde")</f>
        <v xml:space="preserve">   ZZZ_Monde</v>
      </c>
      <c r="C607">
        <v>28398000</v>
      </c>
      <c r="D607">
        <v>94450</v>
      </c>
    </row>
    <row r="608" spans="1:4" x14ac:dyDescent="0.25">
      <c r="A608" t="str">
        <f>T("   AE")</f>
        <v xml:space="preserve">   AE</v>
      </c>
      <c r="B608" t="str">
        <f>T("   Emirats Arabes Unis")</f>
        <v xml:space="preserve">   Emirats Arabes Unis</v>
      </c>
      <c r="C608">
        <v>5985000</v>
      </c>
      <c r="D608">
        <v>30000</v>
      </c>
    </row>
    <row r="609" spans="1:4" x14ac:dyDescent="0.25">
      <c r="A609" t="str">
        <f>T("   ES")</f>
        <v xml:space="preserve">   ES</v>
      </c>
      <c r="B609" t="str">
        <f>T("   Espagne")</f>
        <v xml:space="preserve">   Espagne</v>
      </c>
      <c r="C609">
        <v>10953000</v>
      </c>
      <c r="D609">
        <v>4450</v>
      </c>
    </row>
    <row r="610" spans="1:4" x14ac:dyDescent="0.25">
      <c r="A610" t="str">
        <f>T("   IN")</f>
        <v xml:space="preserve">   IN</v>
      </c>
      <c r="B610" t="str">
        <f>T("   Inde")</f>
        <v xml:space="preserve">   Inde</v>
      </c>
      <c r="C610">
        <v>11460000</v>
      </c>
      <c r="D610">
        <v>60000</v>
      </c>
    </row>
    <row r="611" spans="1:4" x14ac:dyDescent="0.25">
      <c r="A611" t="str">
        <f>T("410510")</f>
        <v>410510</v>
      </c>
      <c r="B611" t="str">
        <f>T("PEAUX D'OVINS, À L'ÉTAT HUMIDE [Y.C. 'WET-BLUE'], TANNÉES, ÉPILÉES, MÊME REFENDUES (SAUF AUTREMENT PRÉPARÉES AINSI QUE SIMPL. PRÉTANNÉES)")</f>
        <v>PEAUX D'OVINS, À L'ÉTAT HUMIDE [Y.C. 'WET-BLUE'], TANNÉES, ÉPILÉES, MÊME REFENDUES (SAUF AUTREMENT PRÉPARÉES AINSI QUE SIMPL. PRÉTANNÉES)</v>
      </c>
    </row>
    <row r="612" spans="1:4" x14ac:dyDescent="0.25">
      <c r="A612" t="str">
        <f>T("   ZZZ_Monde")</f>
        <v xml:space="preserve">   ZZZ_Monde</v>
      </c>
      <c r="B612" t="str">
        <f>T("   ZZZ_Monde")</f>
        <v xml:space="preserve">   ZZZ_Monde</v>
      </c>
      <c r="C612">
        <v>24731000</v>
      </c>
      <c r="D612">
        <v>70244</v>
      </c>
    </row>
    <row r="613" spans="1:4" x14ac:dyDescent="0.25">
      <c r="A613" t="str">
        <f>T("   BD")</f>
        <v xml:space="preserve">   BD</v>
      </c>
      <c r="B613" t="str">
        <f>T("   Bangladesh")</f>
        <v xml:space="preserve">   Bangladesh</v>
      </c>
      <c r="C613">
        <v>24731000</v>
      </c>
      <c r="D613">
        <v>70244</v>
      </c>
    </row>
    <row r="614" spans="1:4" x14ac:dyDescent="0.25">
      <c r="A614" t="str">
        <f>T("410621")</f>
        <v>410621</v>
      </c>
      <c r="B614" t="str">
        <f>T("CUIRS ET PEAUX DE CAPRINS, À L'ÉTAT HUMIDE [Y.C. 'WET-BLUE'], TANNÉS, ÉPILÉS, MÊME REFENDUS (SAUF AUTREMENT PRÉPARÉS AINSI QUE SIMPL. PRÉTANNÉS)")</f>
        <v>CUIRS ET PEAUX DE CAPRINS, À L'ÉTAT HUMIDE [Y.C. 'WET-BLUE'], TANNÉS, ÉPILÉS, MÊME REFENDUS (SAUF AUTREMENT PRÉPARÉS AINSI QUE SIMPL. PRÉTANNÉS)</v>
      </c>
    </row>
    <row r="615" spans="1:4" x14ac:dyDescent="0.25">
      <c r="A615" t="str">
        <f>T("   ZZZ_Monde")</f>
        <v xml:space="preserve">   ZZZ_Monde</v>
      </c>
      <c r="B615" t="str">
        <f>T("   ZZZ_Monde")</f>
        <v xml:space="preserve">   ZZZ_Monde</v>
      </c>
      <c r="C615">
        <v>12365500</v>
      </c>
      <c r="D615">
        <v>35125</v>
      </c>
    </row>
    <row r="616" spans="1:4" x14ac:dyDescent="0.25">
      <c r="A616" t="str">
        <f>T("   BD")</f>
        <v xml:space="preserve">   BD</v>
      </c>
      <c r="B616" t="str">
        <f>T("   Bangladesh")</f>
        <v xml:space="preserve">   Bangladesh</v>
      </c>
      <c r="C616">
        <v>12365500</v>
      </c>
      <c r="D616">
        <v>35125</v>
      </c>
    </row>
    <row r="617" spans="1:4" x14ac:dyDescent="0.25">
      <c r="A617" t="str">
        <f>T("440130")</f>
        <v>440130</v>
      </c>
      <c r="B617" t="str">
        <f>T("Sciures, déchets et débris de bois, même agglomérés sous forme de bûches, briquettes, boulettes ou sous formes simil.")</f>
        <v>Sciures, déchets et débris de bois, même agglomérés sous forme de bûches, briquettes, boulettes ou sous formes simil.</v>
      </c>
    </row>
    <row r="618" spans="1:4" x14ac:dyDescent="0.25">
      <c r="A618" t="str">
        <f>T("   ZZZ_Monde")</f>
        <v xml:space="preserve">   ZZZ_Monde</v>
      </c>
      <c r="B618" t="str">
        <f>T("   ZZZ_Monde")</f>
        <v xml:space="preserve">   ZZZ_Monde</v>
      </c>
      <c r="C618">
        <v>5295000</v>
      </c>
      <c r="D618">
        <v>50000</v>
      </c>
    </row>
    <row r="619" spans="1:4" x14ac:dyDescent="0.25">
      <c r="A619" t="str">
        <f>T("   LB")</f>
        <v xml:space="preserve">   LB</v>
      </c>
      <c r="B619" t="str">
        <f>T("   Liban")</f>
        <v xml:space="preserve">   Liban</v>
      </c>
      <c r="C619">
        <v>5295000</v>
      </c>
      <c r="D619">
        <v>50000</v>
      </c>
    </row>
    <row r="620" spans="1:4" x14ac:dyDescent="0.25">
      <c r="A620" t="str">
        <f>T("440200")</f>
        <v>440200</v>
      </c>
      <c r="B620" t="str">
        <f>T("Charbon de bois - y.c. le charbon de coques ou de noix -, même aggloméré (à l'excl. des fusains et du charbon de bois conditionné comme médicament, mélangé d'encens ou activé)")</f>
        <v>Charbon de bois - y.c. le charbon de coques ou de noix -, même aggloméré (à l'excl. des fusains et du charbon de bois conditionné comme médicament, mélangé d'encens ou activé)</v>
      </c>
    </row>
    <row r="621" spans="1:4" x14ac:dyDescent="0.25">
      <c r="A621" t="str">
        <f>T("   ZZZ_Monde")</f>
        <v xml:space="preserve">   ZZZ_Monde</v>
      </c>
      <c r="B621" t="str">
        <f>T("   ZZZ_Monde")</f>
        <v xml:space="preserve">   ZZZ_Monde</v>
      </c>
      <c r="C621">
        <v>5034000</v>
      </c>
      <c r="D621">
        <v>58750</v>
      </c>
    </row>
    <row r="622" spans="1:4" x14ac:dyDescent="0.25">
      <c r="A622" t="str">
        <f>T("   LB")</f>
        <v xml:space="preserve">   LB</v>
      </c>
      <c r="B622" t="str">
        <f>T("   Liban")</f>
        <v xml:space="preserve">   Liban</v>
      </c>
      <c r="C622">
        <v>5034000</v>
      </c>
      <c r="D622">
        <v>58750</v>
      </c>
    </row>
    <row r="623" spans="1:4" x14ac:dyDescent="0.25">
      <c r="A623" t="str">
        <f>T("440290")</f>
        <v>440290</v>
      </c>
      <c r="B623" t="str">
        <f>T("CHARBON DE BOIS - Y.C. LE CHARBON DE COQUES OU DE NOIX -, MÊME AGGLOMÉRÉ (À L'EXCL. DU CHARBON DE BAMBOU, DES FUSAINS ET DU CHARBON DE BOIS CONDITIONNÉ COMME MÉDICAMENT, MÉLANGÉ D'ENCENS OU ACTIVÉ) AUTRES")</f>
        <v>CHARBON DE BOIS - Y.C. LE CHARBON DE COQUES OU DE NOIX -, MÊME AGGLOMÉRÉ (À L'EXCL. DU CHARBON DE BAMBOU, DES FUSAINS ET DU CHARBON DE BOIS CONDITIONNÉ COMME MÉDICAMENT, MÉLANGÉ D'ENCENS OU ACTIVÉ) AUTRES</v>
      </c>
    </row>
    <row r="624" spans="1:4" x14ac:dyDescent="0.25">
      <c r="A624" t="str">
        <f>T("   ZZZ_Monde")</f>
        <v xml:space="preserve">   ZZZ_Monde</v>
      </c>
      <c r="B624" t="str">
        <f>T("   ZZZ_Monde")</f>
        <v xml:space="preserve">   ZZZ_Monde</v>
      </c>
      <c r="C624">
        <v>12508400</v>
      </c>
      <c r="D624">
        <v>181070</v>
      </c>
    </row>
    <row r="625" spans="1:4" x14ac:dyDescent="0.25">
      <c r="A625" t="str">
        <f>T("   LB")</f>
        <v xml:space="preserve">   LB</v>
      </c>
      <c r="B625" t="str">
        <f>T("   Liban")</f>
        <v xml:space="preserve">   Liban</v>
      </c>
      <c r="C625">
        <v>12508400</v>
      </c>
      <c r="D625">
        <v>181070</v>
      </c>
    </row>
    <row r="626" spans="1:4" x14ac:dyDescent="0.25">
      <c r="A626" t="str">
        <f>T("440320")</f>
        <v>440320</v>
      </c>
      <c r="B626" t="str">
        <f>T("BOIS BRUTS DE CONIFÈRES, MÊME ÉCORCÉS, DÉSAUBIÉRÉS OU ÉQUARRIS (À L'EXCL. DES BOIS TRAITÉS AVEC UNE PEINTURE, DE LA CRÉOSOTE OU D'AUTRES AGENTS DE CONSERVATION, DES BOIS SIMPL. DÉGROSSIS OU ARRONDIS POUR CANNES, PARAPLUIES, MANCHES D'OUTILS OU SIMIL., DES")</f>
        <v>BOIS BRUTS DE CONIFÈRES, MÊME ÉCORCÉS, DÉSAUBIÉRÉS OU ÉQUARRIS (À L'EXCL. DES BOIS TRAITÉS AVEC UNE PEINTURE, DE LA CRÉOSOTE OU D'AUTRES AGENTS DE CONSERVATION, DES BOIS SIMPL. DÉGROSSIS OU ARRONDIS POUR CANNES, PARAPLUIES, MANCHES D'OUTILS OU SIMIL., DES</v>
      </c>
    </row>
    <row r="627" spans="1:4" x14ac:dyDescent="0.25">
      <c r="A627" t="str">
        <f>T("   ZZZ_Monde")</f>
        <v xml:space="preserve">   ZZZ_Monde</v>
      </c>
      <c r="B627" t="str">
        <f>T("   ZZZ_Monde")</f>
        <v xml:space="preserve">   ZZZ_Monde</v>
      </c>
      <c r="C627">
        <v>500000</v>
      </c>
      <c r="D627">
        <v>10000</v>
      </c>
    </row>
    <row r="628" spans="1:4" x14ac:dyDescent="0.25">
      <c r="A628" t="str">
        <f>T("   PL")</f>
        <v xml:space="preserve">   PL</v>
      </c>
      <c r="B628" t="str">
        <f>T("   Pologne")</f>
        <v xml:space="preserve">   Pologne</v>
      </c>
      <c r="C628">
        <v>500000</v>
      </c>
      <c r="D628">
        <v>10000</v>
      </c>
    </row>
    <row r="629" spans="1:4" x14ac:dyDescent="0.25">
      <c r="A629" t="str">
        <f>T("440399")</f>
        <v>440399</v>
      </c>
      <c r="B629" t="str">
        <f>T("BOIS BRUTS, MÊME ÉCORCÉS, DÉSAUBIÉRÉS OU ÉQUARRIS (SAUF BOIS DE CONIFÈRES, BOIS DE CHÊNE 'QUERCUS SPP.' OU DE HÊTRE 'FAGUS SPP.', BOIS TROPICAUX VISÉS À LA NOTE 1 DE SOUS-POSITION DU PRÉSENT CHAPITRE, BOIS SIMPL. DÉGROSSIS OU ARRONDIS POUR CANNES, PARAPLU")</f>
        <v>BOIS BRUTS, MÊME ÉCORCÉS, DÉSAUBIÉRÉS OU ÉQUARRIS (SAUF BOIS DE CONIFÈRES, BOIS DE CHÊNE 'QUERCUS SPP.' OU DE HÊTRE 'FAGUS SPP.', BOIS TROPICAUX VISÉS À LA NOTE 1 DE SOUS-POSITION DU PRÉSENT CHAPITRE, BOIS SIMPL. DÉGROSSIS OU ARRONDIS POUR CANNES, PARAPLU</v>
      </c>
    </row>
    <row r="630" spans="1:4" x14ac:dyDescent="0.25">
      <c r="A630" t="str">
        <f>T("   ZZZ_Monde")</f>
        <v xml:space="preserve">   ZZZ_Monde</v>
      </c>
      <c r="B630" t="str">
        <f>T("   ZZZ_Monde")</f>
        <v xml:space="preserve">   ZZZ_Monde</v>
      </c>
      <c r="C630">
        <v>3772590232</v>
      </c>
      <c r="D630">
        <v>71787260</v>
      </c>
    </row>
    <row r="631" spans="1:4" x14ac:dyDescent="0.25">
      <c r="A631" t="str">
        <f>T("   CH")</f>
        <v xml:space="preserve">   CH</v>
      </c>
      <c r="B631" t="str">
        <f>T("   Suisse")</f>
        <v xml:space="preserve">   Suisse</v>
      </c>
      <c r="C631">
        <v>21450000</v>
      </c>
      <c r="D631">
        <v>429000</v>
      </c>
    </row>
    <row r="632" spans="1:4" x14ac:dyDescent="0.25">
      <c r="A632" t="str">
        <f>T("   CN")</f>
        <v xml:space="preserve">   CN</v>
      </c>
      <c r="B632" t="str">
        <f>T("   Chine")</f>
        <v xml:space="preserve">   Chine</v>
      </c>
      <c r="C632">
        <v>2714096000</v>
      </c>
      <c r="D632">
        <v>53705140</v>
      </c>
    </row>
    <row r="633" spans="1:4" x14ac:dyDescent="0.25">
      <c r="A633" t="str">
        <f>T("   GH")</f>
        <v xml:space="preserve">   GH</v>
      </c>
      <c r="B633" t="str">
        <f>T("   Ghana")</f>
        <v xml:space="preserve">   Ghana</v>
      </c>
      <c r="C633">
        <v>25044232</v>
      </c>
      <c r="D633">
        <v>68400</v>
      </c>
    </row>
    <row r="634" spans="1:4" x14ac:dyDescent="0.25">
      <c r="A634" t="str">
        <f>T("   HK")</f>
        <v xml:space="preserve">   HK</v>
      </c>
      <c r="B634" t="str">
        <f>T("   Hong-Kong")</f>
        <v xml:space="preserve">   Hong-Kong</v>
      </c>
      <c r="C634">
        <v>500000</v>
      </c>
      <c r="D634">
        <v>10000</v>
      </c>
    </row>
    <row r="635" spans="1:4" x14ac:dyDescent="0.25">
      <c r="A635" t="str">
        <f>T("   IL")</f>
        <v xml:space="preserve">   IL</v>
      </c>
      <c r="B635" t="str">
        <f>T("   Israël")</f>
        <v xml:space="preserve">   Israël</v>
      </c>
      <c r="C635">
        <v>500000</v>
      </c>
      <c r="D635">
        <v>10000</v>
      </c>
    </row>
    <row r="636" spans="1:4" x14ac:dyDescent="0.25">
      <c r="A636" t="str">
        <f>T("   IN")</f>
        <v xml:space="preserve">   IN</v>
      </c>
      <c r="B636" t="str">
        <f>T("   Inde")</f>
        <v xml:space="preserve">   Inde</v>
      </c>
      <c r="C636">
        <v>994250000</v>
      </c>
      <c r="D636">
        <v>17229720</v>
      </c>
    </row>
    <row r="637" spans="1:4" x14ac:dyDescent="0.25">
      <c r="A637" t="str">
        <f>T("   MA")</f>
        <v xml:space="preserve">   MA</v>
      </c>
      <c r="B637" t="str">
        <f>T("   Maroc")</f>
        <v xml:space="preserve">   Maroc</v>
      </c>
      <c r="C637">
        <v>1000000</v>
      </c>
      <c r="D637">
        <v>20000</v>
      </c>
    </row>
    <row r="638" spans="1:4" x14ac:dyDescent="0.25">
      <c r="A638" t="str">
        <f>T("   TR")</f>
        <v xml:space="preserve">   TR</v>
      </c>
      <c r="B638" t="str">
        <f>T("   Turquie")</f>
        <v xml:space="preserve">   Turquie</v>
      </c>
      <c r="C638">
        <v>750000</v>
      </c>
      <c r="D638">
        <v>15000</v>
      </c>
    </row>
    <row r="639" spans="1:4" x14ac:dyDescent="0.25">
      <c r="A639" t="str">
        <f>T("   VN")</f>
        <v xml:space="preserve">   VN</v>
      </c>
      <c r="B639" t="str">
        <f>T("   Vietnam")</f>
        <v xml:space="preserve">   Vietnam</v>
      </c>
      <c r="C639">
        <v>15000000</v>
      </c>
      <c r="D639">
        <v>300000</v>
      </c>
    </row>
    <row r="640" spans="1:4" x14ac:dyDescent="0.25">
      <c r="A640" t="str">
        <f>T("440500")</f>
        <v>440500</v>
      </c>
      <c r="B640" t="str">
        <f>T("Laine [paille] de bois; farine de bois, c'est-à-dire la poudre de bois passant, avec au maximum 8% en poids de déchets, au tamis ayant une ouverture de mailles de 0,63 mm")</f>
        <v>Laine [paille] de bois; farine de bois, c'est-à-dire la poudre de bois passant, avec au maximum 8% en poids de déchets, au tamis ayant une ouverture de mailles de 0,63 mm</v>
      </c>
    </row>
    <row r="641" spans="1:4" x14ac:dyDescent="0.25">
      <c r="A641" t="str">
        <f>T("   ZZZ_Monde")</f>
        <v xml:space="preserve">   ZZZ_Monde</v>
      </c>
      <c r="B641" t="str">
        <f>T("   ZZZ_Monde")</f>
        <v xml:space="preserve">   ZZZ_Monde</v>
      </c>
      <c r="C641">
        <v>1000000</v>
      </c>
      <c r="D641">
        <v>20000</v>
      </c>
    </row>
    <row r="642" spans="1:4" x14ac:dyDescent="0.25">
      <c r="A642" t="str">
        <f>T("   CN")</f>
        <v xml:space="preserve">   CN</v>
      </c>
      <c r="B642" t="str">
        <f>T("   Chine")</f>
        <v xml:space="preserve">   Chine</v>
      </c>
      <c r="C642">
        <v>1000000</v>
      </c>
      <c r="D642">
        <v>20000</v>
      </c>
    </row>
    <row r="643" spans="1:4" x14ac:dyDescent="0.25">
      <c r="A643" t="str">
        <f>T("440690")</f>
        <v>440690</v>
      </c>
      <c r="B643" t="str">
        <f>T("Traverses en bois, pour voies ferrées ou simil., imprégnées")</f>
        <v>Traverses en bois, pour voies ferrées ou simil., imprégnées</v>
      </c>
    </row>
    <row r="644" spans="1:4" x14ac:dyDescent="0.25">
      <c r="A644" t="str">
        <f>T("   ZZZ_Monde")</f>
        <v xml:space="preserve">   ZZZ_Monde</v>
      </c>
      <c r="B644" t="str">
        <f>T("   ZZZ_Monde")</f>
        <v xml:space="preserve">   ZZZ_Monde</v>
      </c>
      <c r="C644">
        <v>1477986704</v>
      </c>
      <c r="D644">
        <v>25219770</v>
      </c>
    </row>
    <row r="645" spans="1:4" x14ac:dyDescent="0.25">
      <c r="A645" t="str">
        <f>T("   CN")</f>
        <v xml:space="preserve">   CN</v>
      </c>
      <c r="B645" t="str">
        <f>T("   Chine")</f>
        <v xml:space="preserve">   Chine</v>
      </c>
      <c r="C645">
        <v>1089632000</v>
      </c>
      <c r="D645">
        <v>20794770</v>
      </c>
    </row>
    <row r="646" spans="1:4" x14ac:dyDescent="0.25">
      <c r="A646" t="str">
        <f>T("   IN")</f>
        <v xml:space="preserve">   IN</v>
      </c>
      <c r="B646" t="str">
        <f>T("   Inde")</f>
        <v xml:space="preserve">   Inde</v>
      </c>
      <c r="C646">
        <v>377954704</v>
      </c>
      <c r="D646">
        <v>4177000</v>
      </c>
    </row>
    <row r="647" spans="1:4" x14ac:dyDescent="0.25">
      <c r="A647" t="str">
        <f>T("   MY")</f>
        <v xml:space="preserve">   MY</v>
      </c>
      <c r="B647" t="str">
        <f>T("   Malaisie")</f>
        <v xml:space="preserve">   Malaisie</v>
      </c>
      <c r="C647">
        <v>1000000</v>
      </c>
      <c r="D647">
        <v>20000</v>
      </c>
    </row>
    <row r="648" spans="1:4" x14ac:dyDescent="0.25">
      <c r="A648" t="str">
        <f>T("   TH")</f>
        <v xml:space="preserve">   TH</v>
      </c>
      <c r="B648" t="str">
        <f>T("   Thaïlande")</f>
        <v xml:space="preserve">   Thaïlande</v>
      </c>
      <c r="C648">
        <v>1000000</v>
      </c>
      <c r="D648">
        <v>20000</v>
      </c>
    </row>
    <row r="649" spans="1:4" x14ac:dyDescent="0.25">
      <c r="A649" t="str">
        <f>T("   VN")</f>
        <v xml:space="preserve">   VN</v>
      </c>
      <c r="B649" t="str">
        <f>T("   Vietnam")</f>
        <v xml:space="preserve">   Vietnam</v>
      </c>
      <c r="C649">
        <v>8400000</v>
      </c>
      <c r="D649">
        <v>208000</v>
      </c>
    </row>
    <row r="650" spans="1:4" x14ac:dyDescent="0.25">
      <c r="A650" t="str">
        <f>T("440729")</f>
        <v>440729</v>
      </c>
      <c r="B650" t="str">
        <f>T("Bois tropicaux visés à la note 1 de sous-position du présent chapitre, sciés ou dédossés longitudinalement, tranchés ou déroulés, même rabotés, poncés ou collés par assemblage en bout, d'une épaisseur &gt; 6 mm (sauf virola, mahogany 'Swietenia spp.', imbuia")</f>
        <v>Bois tropicaux visés à la note 1 de sous-position du présent chapitre, sciés ou dédossés longitudinalement, tranchés ou déroulés, même rabotés, poncés ou collés par assemblage en bout, d'une épaisseur &gt; 6 mm (sauf virola, mahogany 'Swietenia spp.', imbuia</v>
      </c>
    </row>
    <row r="651" spans="1:4" x14ac:dyDescent="0.25">
      <c r="A651" t="str">
        <f>T("   ZZZ_Monde")</f>
        <v xml:space="preserve">   ZZZ_Monde</v>
      </c>
      <c r="B651" t="str">
        <f>T("   ZZZ_Monde")</f>
        <v xml:space="preserve">   ZZZ_Monde</v>
      </c>
      <c r="C651">
        <v>3246625025</v>
      </c>
      <c r="D651">
        <v>9154442</v>
      </c>
    </row>
    <row r="652" spans="1:4" x14ac:dyDescent="0.25">
      <c r="A652" t="str">
        <f>T("   CN")</f>
        <v xml:space="preserve">   CN</v>
      </c>
      <c r="B652" t="str">
        <f>T("   Chine")</f>
        <v xml:space="preserve">   Chine</v>
      </c>
      <c r="C652">
        <v>633075850</v>
      </c>
      <c r="D652">
        <v>6013030</v>
      </c>
    </row>
    <row r="653" spans="1:4" x14ac:dyDescent="0.25">
      <c r="A653" t="str">
        <f>T("   ES")</f>
        <v xml:space="preserve">   ES</v>
      </c>
      <c r="B653" t="str">
        <f>T("   Espagne")</f>
        <v xml:space="preserve">   Espagne</v>
      </c>
      <c r="C653">
        <v>11361710</v>
      </c>
      <c r="D653">
        <v>10000</v>
      </c>
    </row>
    <row r="654" spans="1:4" x14ac:dyDescent="0.25">
      <c r="A654" t="str">
        <f>T("   FR")</f>
        <v xml:space="preserve">   FR</v>
      </c>
      <c r="B654" t="str">
        <f>T("   France")</f>
        <v xml:space="preserve">   France</v>
      </c>
      <c r="C654">
        <v>57523548</v>
      </c>
      <c r="D654">
        <v>35000</v>
      </c>
    </row>
    <row r="655" spans="1:4" x14ac:dyDescent="0.25">
      <c r="A655" t="str">
        <f>T("   IN")</f>
        <v xml:space="preserve">   IN</v>
      </c>
      <c r="B655" t="str">
        <f>T("   Inde")</f>
        <v xml:space="preserve">   Inde</v>
      </c>
      <c r="C655">
        <v>2326562574</v>
      </c>
      <c r="D655">
        <v>2753000</v>
      </c>
    </row>
    <row r="656" spans="1:4" x14ac:dyDescent="0.25">
      <c r="A656" t="str">
        <f>T("   IT")</f>
        <v xml:space="preserve">   IT</v>
      </c>
      <c r="B656" t="str">
        <f>T("   Italie")</f>
        <v xml:space="preserve">   Italie</v>
      </c>
      <c r="C656">
        <v>128428204</v>
      </c>
      <c r="D656">
        <v>65000</v>
      </c>
    </row>
    <row r="657" spans="1:4" x14ac:dyDescent="0.25">
      <c r="A657" t="str">
        <f>T("   LB")</f>
        <v xml:space="preserve">   LB</v>
      </c>
      <c r="B657" t="str">
        <f>T("   Liban")</f>
        <v xml:space="preserve">   Liban</v>
      </c>
      <c r="C657">
        <v>4783500</v>
      </c>
      <c r="D657">
        <v>45222</v>
      </c>
    </row>
    <row r="658" spans="1:4" x14ac:dyDescent="0.25">
      <c r="A658" t="str">
        <f>T("   SG")</f>
        <v xml:space="preserve">   SG</v>
      </c>
      <c r="B658" t="str">
        <f>T("   Singapour")</f>
        <v xml:space="preserve">   Singapour</v>
      </c>
      <c r="C658">
        <v>71429889</v>
      </c>
      <c r="D658">
        <v>55000</v>
      </c>
    </row>
    <row r="659" spans="1:4" x14ac:dyDescent="0.25">
      <c r="A659" t="str">
        <f>T("   VN")</f>
        <v xml:space="preserve">   VN</v>
      </c>
      <c r="B659" t="str">
        <f>T("   Vietnam")</f>
        <v xml:space="preserve">   Vietnam</v>
      </c>
      <c r="C659">
        <v>13459750</v>
      </c>
      <c r="D659">
        <v>178190</v>
      </c>
    </row>
    <row r="660" spans="1:4" x14ac:dyDescent="0.25">
      <c r="A660" t="str">
        <f>T("440799")</f>
        <v>440799</v>
      </c>
      <c r="B660" t="str">
        <f>T("Bois sciés ou dédossés longitudinalement, tranchés ou déroulés, d'une épaisseur &gt; 6 mm, même rabotés, poncés ou collés par assemblage en bout (à l'excl. des bois tropicaux visés à la note 1 de sous-position du présent chapitre ainsi que des bois de conifè")</f>
        <v>Bois sciés ou dédossés longitudinalement, tranchés ou déroulés, d'une épaisseur &gt; 6 mm, même rabotés, poncés ou collés par assemblage en bout (à l'excl. des bois tropicaux visés à la note 1 de sous-position du présent chapitre ainsi que des bois de conifè</v>
      </c>
    </row>
    <row r="661" spans="1:4" x14ac:dyDescent="0.25">
      <c r="A661" t="str">
        <f>T("   ZZZ_Monde")</f>
        <v xml:space="preserve">   ZZZ_Monde</v>
      </c>
      <c r="B661" t="str">
        <f>T("   ZZZ_Monde")</f>
        <v xml:space="preserve">   ZZZ_Monde</v>
      </c>
      <c r="C661">
        <v>216715000</v>
      </c>
      <c r="D661">
        <v>1045000</v>
      </c>
    </row>
    <row r="662" spans="1:4" x14ac:dyDescent="0.25">
      <c r="A662" t="str">
        <f>T("   CN")</f>
        <v xml:space="preserve">   CN</v>
      </c>
      <c r="B662" t="str">
        <f>T("   Chine")</f>
        <v xml:space="preserve">   Chine</v>
      </c>
      <c r="C662">
        <v>204500000</v>
      </c>
      <c r="D662">
        <v>730000</v>
      </c>
    </row>
    <row r="663" spans="1:4" x14ac:dyDescent="0.25">
      <c r="A663" t="str">
        <f>T("   HK")</f>
        <v xml:space="preserve">   HK</v>
      </c>
      <c r="B663" t="str">
        <f>T("   Hong-Kong")</f>
        <v xml:space="preserve">   Hong-Kong</v>
      </c>
      <c r="C663">
        <v>1200000</v>
      </c>
      <c r="D663">
        <v>12000</v>
      </c>
    </row>
    <row r="664" spans="1:4" x14ac:dyDescent="0.25">
      <c r="A664" t="str">
        <f>T("   IN")</f>
        <v xml:space="preserve">   IN</v>
      </c>
      <c r="B664" t="str">
        <f>T("   Inde")</f>
        <v xml:space="preserve">   Inde</v>
      </c>
      <c r="C664">
        <v>9500000</v>
      </c>
      <c r="D664">
        <v>283000</v>
      </c>
    </row>
    <row r="665" spans="1:4" x14ac:dyDescent="0.25">
      <c r="A665" t="str">
        <f>T("   NE")</f>
        <v xml:space="preserve">   NE</v>
      </c>
      <c r="B665" t="str">
        <f>T("   Niger")</f>
        <v xml:space="preserve">   Niger</v>
      </c>
      <c r="C665">
        <v>1515000</v>
      </c>
      <c r="D665">
        <v>20000</v>
      </c>
    </row>
    <row r="666" spans="1:4" x14ac:dyDescent="0.25">
      <c r="A666" t="str">
        <f>T("442010")</f>
        <v>442010</v>
      </c>
      <c r="B666" t="str">
        <f>T("Statuettes et autres objets d'ornement, en bois (autres que marquetés ou incrustés)")</f>
        <v>Statuettes et autres objets d'ornement, en bois (autres que marquetés ou incrustés)</v>
      </c>
    </row>
    <row r="667" spans="1:4" x14ac:dyDescent="0.25">
      <c r="A667" t="str">
        <f>T("   ZZZ_Monde")</f>
        <v xml:space="preserve">   ZZZ_Monde</v>
      </c>
      <c r="B667" t="str">
        <f>T("   ZZZ_Monde")</f>
        <v xml:space="preserve">   ZZZ_Monde</v>
      </c>
      <c r="C667">
        <v>580000</v>
      </c>
      <c r="D667">
        <v>1000</v>
      </c>
    </row>
    <row r="668" spans="1:4" x14ac:dyDescent="0.25">
      <c r="A668" t="str">
        <f>T("   IT")</f>
        <v xml:space="preserve">   IT</v>
      </c>
      <c r="B668" t="str">
        <f>T("   Italie")</f>
        <v xml:space="preserve">   Italie</v>
      </c>
      <c r="C668">
        <v>580000</v>
      </c>
      <c r="D668">
        <v>1000</v>
      </c>
    </row>
    <row r="669" spans="1:4" x14ac:dyDescent="0.25">
      <c r="A669" t="str">
        <f>T("442190")</f>
        <v>442190</v>
      </c>
      <c r="B669" t="str">
        <f>T("Ouvrages, en bois, n.d.a.")</f>
        <v>Ouvrages, en bois, n.d.a.</v>
      </c>
    </row>
    <row r="670" spans="1:4" x14ac:dyDescent="0.25">
      <c r="A670" t="str">
        <f>T("   ZZZ_Monde")</f>
        <v xml:space="preserve">   ZZZ_Monde</v>
      </c>
      <c r="B670" t="str">
        <f>T("   ZZZ_Monde")</f>
        <v xml:space="preserve">   ZZZ_Monde</v>
      </c>
      <c r="C670">
        <v>2893425</v>
      </c>
      <c r="D670">
        <v>30086</v>
      </c>
    </row>
    <row r="671" spans="1:4" x14ac:dyDescent="0.25">
      <c r="A671" t="str">
        <f>T("   CN")</f>
        <v xml:space="preserve">   CN</v>
      </c>
      <c r="B671" t="str">
        <f>T("   Chine")</f>
        <v xml:space="preserve">   Chine</v>
      </c>
      <c r="C671">
        <v>2693425</v>
      </c>
      <c r="D671">
        <v>30060</v>
      </c>
    </row>
    <row r="672" spans="1:4" x14ac:dyDescent="0.25">
      <c r="A672" t="str">
        <f>T("   SV")</f>
        <v xml:space="preserve">   SV</v>
      </c>
      <c r="B672" t="str">
        <f>T("   El Salvador")</f>
        <v xml:space="preserve">   El Salvador</v>
      </c>
      <c r="C672">
        <v>200000</v>
      </c>
      <c r="D672">
        <v>26</v>
      </c>
    </row>
    <row r="673" spans="1:4" x14ac:dyDescent="0.25">
      <c r="A673" t="str">
        <f>T("460129")</f>
        <v>460129</v>
      </c>
      <c r="B673" t="str">
        <f>T("NATTES, PAILLASSONS ET CLAIES, EN MATIÈRES À TRESSER VÉGÉTALES, TISSÉS OU PARALLÉLISÉS, À PLAT (SAUF EN BAMBOU ET EN ROTIN)")</f>
        <v>NATTES, PAILLASSONS ET CLAIES, EN MATIÈRES À TRESSER VÉGÉTALES, TISSÉS OU PARALLÉLISÉS, À PLAT (SAUF EN BAMBOU ET EN ROTIN)</v>
      </c>
    </row>
    <row r="674" spans="1:4" x14ac:dyDescent="0.25">
      <c r="A674" t="str">
        <f>T("   ZZZ_Monde")</f>
        <v xml:space="preserve">   ZZZ_Monde</v>
      </c>
      <c r="B674" t="str">
        <f>T("   ZZZ_Monde")</f>
        <v xml:space="preserve">   ZZZ_Monde</v>
      </c>
      <c r="C674">
        <v>1300000</v>
      </c>
      <c r="D674">
        <v>400</v>
      </c>
    </row>
    <row r="675" spans="1:4" x14ac:dyDescent="0.25">
      <c r="A675" t="str">
        <f>T("   GA")</f>
        <v xml:space="preserve">   GA</v>
      </c>
      <c r="B675" t="str">
        <f>T("   Gabon")</f>
        <v xml:space="preserve">   Gabon</v>
      </c>
      <c r="C675">
        <v>1300000</v>
      </c>
      <c r="D675">
        <v>400</v>
      </c>
    </row>
    <row r="676" spans="1:4" x14ac:dyDescent="0.25">
      <c r="A676" t="str">
        <f>T("481910")</f>
        <v>481910</v>
      </c>
      <c r="B676" t="str">
        <f>T("Boîtes et caisses en papier ou en carton ondulé")</f>
        <v>Boîtes et caisses en papier ou en carton ondulé</v>
      </c>
    </row>
    <row r="677" spans="1:4" x14ac:dyDescent="0.25">
      <c r="A677" t="str">
        <f>T("   ZZZ_Monde")</f>
        <v xml:space="preserve">   ZZZ_Monde</v>
      </c>
      <c r="B677" t="str">
        <f>T("   ZZZ_Monde")</f>
        <v xml:space="preserve">   ZZZ_Monde</v>
      </c>
      <c r="C677">
        <v>27008903</v>
      </c>
      <c r="D677">
        <v>56835</v>
      </c>
    </row>
    <row r="678" spans="1:4" x14ac:dyDescent="0.25">
      <c r="A678" t="str">
        <f>T("   BF")</f>
        <v xml:space="preserve">   BF</v>
      </c>
      <c r="B678" t="str">
        <f>T("   Burkina Faso")</f>
        <v xml:space="preserve">   Burkina Faso</v>
      </c>
      <c r="C678">
        <v>8777112</v>
      </c>
      <c r="D678">
        <v>15252</v>
      </c>
    </row>
    <row r="679" spans="1:4" x14ac:dyDescent="0.25">
      <c r="A679" t="str">
        <f>T("   GH")</f>
        <v xml:space="preserve">   GH</v>
      </c>
      <c r="B679" t="str">
        <f>T("   Ghana")</f>
        <v xml:space="preserve">   Ghana</v>
      </c>
      <c r="C679">
        <v>414150</v>
      </c>
      <c r="D679">
        <v>875</v>
      </c>
    </row>
    <row r="680" spans="1:4" x14ac:dyDescent="0.25">
      <c r="A680" t="str">
        <f>T("   ML")</f>
        <v xml:space="preserve">   ML</v>
      </c>
      <c r="B680" t="str">
        <f>T("   Mali")</f>
        <v xml:space="preserve">   Mali</v>
      </c>
      <c r="C680">
        <v>9154448</v>
      </c>
      <c r="D680">
        <v>23920</v>
      </c>
    </row>
    <row r="681" spans="1:4" x14ac:dyDescent="0.25">
      <c r="A681" t="str">
        <f>T("   NE")</f>
        <v xml:space="preserve">   NE</v>
      </c>
      <c r="B681" t="str">
        <f>T("   Niger")</f>
        <v xml:space="preserve">   Niger</v>
      </c>
      <c r="C681">
        <v>4134276</v>
      </c>
      <c r="D681">
        <v>7742</v>
      </c>
    </row>
    <row r="682" spans="1:4" x14ac:dyDescent="0.25">
      <c r="A682" t="str">
        <f>T("   SN")</f>
        <v xml:space="preserve">   SN</v>
      </c>
      <c r="B682" t="str">
        <f>T("   Sénégal")</f>
        <v xml:space="preserve">   Sénégal</v>
      </c>
      <c r="C682">
        <v>3328988</v>
      </c>
      <c r="D682">
        <v>7816</v>
      </c>
    </row>
    <row r="683" spans="1:4" x14ac:dyDescent="0.25">
      <c r="A683" t="str">
        <f>T("   TG")</f>
        <v xml:space="preserve">   TG</v>
      </c>
      <c r="B683" t="str">
        <f>T("   Togo")</f>
        <v xml:space="preserve">   Togo</v>
      </c>
      <c r="C683">
        <v>1199929</v>
      </c>
      <c r="D683">
        <v>1230</v>
      </c>
    </row>
    <row r="684" spans="1:4" x14ac:dyDescent="0.25">
      <c r="A684" t="str">
        <f>T("481920")</f>
        <v>481920</v>
      </c>
      <c r="B684" t="str">
        <f>T("Boîtes et cartonnages, pliants, en papier ou en carton non ondulé")</f>
        <v>Boîtes et cartonnages, pliants, en papier ou en carton non ondulé</v>
      </c>
    </row>
    <row r="685" spans="1:4" x14ac:dyDescent="0.25">
      <c r="A685" t="str">
        <f>T("   ZZZ_Monde")</f>
        <v xml:space="preserve">   ZZZ_Monde</v>
      </c>
      <c r="B685" t="str">
        <f>T("   ZZZ_Monde")</f>
        <v xml:space="preserve">   ZZZ_Monde</v>
      </c>
      <c r="C685">
        <v>37034305</v>
      </c>
      <c r="D685">
        <v>71898</v>
      </c>
    </row>
    <row r="686" spans="1:4" x14ac:dyDescent="0.25">
      <c r="A686" t="str">
        <f>T("   FR")</f>
        <v xml:space="preserve">   FR</v>
      </c>
      <c r="B686" t="str">
        <f>T("   France")</f>
        <v xml:space="preserve">   France</v>
      </c>
      <c r="C686">
        <v>7500000</v>
      </c>
      <c r="D686">
        <v>34050</v>
      </c>
    </row>
    <row r="687" spans="1:4" x14ac:dyDescent="0.25">
      <c r="A687" t="str">
        <f>T("   GH")</f>
        <v xml:space="preserve">   GH</v>
      </c>
      <c r="B687" t="str">
        <f>T("   Ghana")</f>
        <v xml:space="preserve">   Ghana</v>
      </c>
      <c r="C687">
        <v>3365600</v>
      </c>
      <c r="D687">
        <v>8636</v>
      </c>
    </row>
    <row r="688" spans="1:4" x14ac:dyDescent="0.25">
      <c r="A688" t="str">
        <f>T("   NL")</f>
        <v xml:space="preserve">   NL</v>
      </c>
      <c r="B688" t="str">
        <f>T("   Pays-bas")</f>
        <v xml:space="preserve">   Pays-bas</v>
      </c>
      <c r="C688">
        <v>26168705</v>
      </c>
      <c r="D688">
        <v>29212</v>
      </c>
    </row>
    <row r="689" spans="1:4" x14ac:dyDescent="0.25">
      <c r="A689" t="str">
        <f>T("481940")</f>
        <v>481940</v>
      </c>
      <c r="B689" t="str">
        <f>T("Sacs, sachets, pochettes et cornets, en papier, carton, ouate de cellulose ou nappes de fibres de cellulose (à l'excl. des pochettes pour disques et des sacs d'une largeur à la base &gt;= 40 cm)")</f>
        <v>Sacs, sachets, pochettes et cornets, en papier, carton, ouate de cellulose ou nappes de fibres de cellulose (à l'excl. des pochettes pour disques et des sacs d'une largeur à la base &gt;= 40 cm)</v>
      </c>
    </row>
    <row r="690" spans="1:4" x14ac:dyDescent="0.25">
      <c r="A690" t="str">
        <f>T("   ZZZ_Monde")</f>
        <v xml:space="preserve">   ZZZ_Monde</v>
      </c>
      <c r="B690" t="str">
        <f>T("   ZZZ_Monde")</f>
        <v xml:space="preserve">   ZZZ_Monde</v>
      </c>
      <c r="C690">
        <v>1948157</v>
      </c>
      <c r="D690">
        <v>290</v>
      </c>
    </row>
    <row r="691" spans="1:4" x14ac:dyDescent="0.25">
      <c r="A691" t="str">
        <f>T("   FR")</f>
        <v xml:space="preserve">   FR</v>
      </c>
      <c r="B691" t="str">
        <f>T("   France")</f>
        <v xml:space="preserve">   France</v>
      </c>
      <c r="C691">
        <v>1948157</v>
      </c>
      <c r="D691">
        <v>290</v>
      </c>
    </row>
    <row r="692" spans="1:4" x14ac:dyDescent="0.25">
      <c r="A692" t="str">
        <f>T("481960")</f>
        <v>481960</v>
      </c>
      <c r="B692" t="str">
        <f>T("Cartonnages de bureau, de magasin ou simil., rigides (à l'excl. des emballages)")</f>
        <v>Cartonnages de bureau, de magasin ou simil., rigides (à l'excl. des emballages)</v>
      </c>
    </row>
    <row r="693" spans="1:4" x14ac:dyDescent="0.25">
      <c r="A693" t="str">
        <f>T("   ZZZ_Monde")</f>
        <v xml:space="preserve">   ZZZ_Monde</v>
      </c>
      <c r="B693" t="str">
        <f>T("   ZZZ_Monde")</f>
        <v xml:space="preserve">   ZZZ_Monde</v>
      </c>
      <c r="C693">
        <v>74272839</v>
      </c>
      <c r="D693">
        <v>118010</v>
      </c>
    </row>
    <row r="694" spans="1:4" x14ac:dyDescent="0.25">
      <c r="A694" t="str">
        <f>T("   GA")</f>
        <v xml:space="preserve">   GA</v>
      </c>
      <c r="B694" t="str">
        <f>T("   Gabon")</f>
        <v xml:space="preserve">   Gabon</v>
      </c>
      <c r="C694">
        <v>1478400</v>
      </c>
      <c r="D694">
        <v>2213</v>
      </c>
    </row>
    <row r="695" spans="1:4" x14ac:dyDescent="0.25">
      <c r="A695" t="str">
        <f>T("   LR")</f>
        <v xml:space="preserve">   LR</v>
      </c>
      <c r="B695" t="str">
        <f>T("   Libéria")</f>
        <v xml:space="preserve">   Libéria</v>
      </c>
      <c r="C695">
        <v>317509</v>
      </c>
      <c r="D695">
        <v>882</v>
      </c>
    </row>
    <row r="696" spans="1:4" x14ac:dyDescent="0.25">
      <c r="A696" t="str">
        <f>T("   NE")</f>
        <v xml:space="preserve">   NE</v>
      </c>
      <c r="B696" t="str">
        <f>T("   Niger")</f>
        <v xml:space="preserve">   Niger</v>
      </c>
      <c r="C696">
        <v>22919238</v>
      </c>
      <c r="D696">
        <v>31889</v>
      </c>
    </row>
    <row r="697" spans="1:4" x14ac:dyDescent="0.25">
      <c r="A697" t="str">
        <f>T("   NG")</f>
        <v xml:space="preserve">   NG</v>
      </c>
      <c r="B697" t="str">
        <f>T("   Nigéria")</f>
        <v xml:space="preserve">   Nigéria</v>
      </c>
      <c r="C697">
        <v>42738435</v>
      </c>
      <c r="D697">
        <v>73026</v>
      </c>
    </row>
    <row r="698" spans="1:4" x14ac:dyDescent="0.25">
      <c r="A698" t="str">
        <f>T("   TG")</f>
        <v xml:space="preserve">   TG</v>
      </c>
      <c r="B698" t="str">
        <f>T("   Togo")</f>
        <v xml:space="preserve">   Togo</v>
      </c>
      <c r="C698">
        <v>6819257</v>
      </c>
      <c r="D698">
        <v>10000</v>
      </c>
    </row>
    <row r="699" spans="1:4" x14ac:dyDescent="0.25">
      <c r="A699" t="str">
        <f>T("482020")</f>
        <v>482020</v>
      </c>
      <c r="B699" t="str">
        <f>T("Cahiers pour l'écriture, en papier ou carton")</f>
        <v>Cahiers pour l'écriture, en papier ou carton</v>
      </c>
    </row>
    <row r="700" spans="1:4" x14ac:dyDescent="0.25">
      <c r="A700" t="str">
        <f>T("   ZZZ_Monde")</f>
        <v xml:space="preserve">   ZZZ_Monde</v>
      </c>
      <c r="B700" t="str">
        <f>T("   ZZZ_Monde")</f>
        <v xml:space="preserve">   ZZZ_Monde</v>
      </c>
      <c r="C700">
        <v>20300800</v>
      </c>
      <c r="D700">
        <v>19497.7</v>
      </c>
    </row>
    <row r="701" spans="1:4" x14ac:dyDescent="0.25">
      <c r="A701" t="str">
        <f>T("   GH")</f>
        <v xml:space="preserve">   GH</v>
      </c>
      <c r="B701" t="str">
        <f>T("   Ghana")</f>
        <v xml:space="preserve">   Ghana</v>
      </c>
      <c r="C701">
        <v>5200000</v>
      </c>
      <c r="D701">
        <v>1544</v>
      </c>
    </row>
    <row r="702" spans="1:4" x14ac:dyDescent="0.25">
      <c r="A702" t="str">
        <f>T("   TG")</f>
        <v xml:space="preserve">   TG</v>
      </c>
      <c r="B702" t="str">
        <f>T("   Togo")</f>
        <v xml:space="preserve">   Togo</v>
      </c>
      <c r="C702">
        <v>15100800</v>
      </c>
      <c r="D702">
        <v>17953.7</v>
      </c>
    </row>
    <row r="703" spans="1:4" x14ac:dyDescent="0.25">
      <c r="A703" t="str">
        <f>T("490199")</f>
        <v>490199</v>
      </c>
      <c r="B703" t="str">
        <f>T("Livres, brochures et imprimés simil. (à l'excl. des produits en feuillets isolés, des dictionnaires et encyclopédies, même en fascicules, des publications périodiques ainsi que des publications à usages principalement publicitaires)")</f>
        <v>Livres, brochures et imprimés simil. (à l'excl. des produits en feuillets isolés, des dictionnaires et encyclopédies, même en fascicules, des publications périodiques ainsi que des publications à usages principalement publicitaires)</v>
      </c>
    </row>
    <row r="704" spans="1:4" x14ac:dyDescent="0.25">
      <c r="A704" t="str">
        <f>T("   ZZZ_Monde")</f>
        <v xml:space="preserve">   ZZZ_Monde</v>
      </c>
      <c r="B704" t="str">
        <f>T("   ZZZ_Monde")</f>
        <v xml:space="preserve">   ZZZ_Monde</v>
      </c>
      <c r="C704">
        <v>20499681</v>
      </c>
      <c r="D704">
        <v>49711</v>
      </c>
    </row>
    <row r="705" spans="1:4" x14ac:dyDescent="0.25">
      <c r="A705" t="str">
        <f>T("   BE")</f>
        <v xml:space="preserve">   BE</v>
      </c>
      <c r="B705" t="str">
        <f>T("   Belgique")</f>
        <v xml:space="preserve">   Belgique</v>
      </c>
      <c r="C705">
        <v>150000</v>
      </c>
      <c r="D705">
        <v>100</v>
      </c>
    </row>
    <row r="706" spans="1:4" x14ac:dyDescent="0.25">
      <c r="A706" t="str">
        <f>T("   BI")</f>
        <v xml:space="preserve">   BI</v>
      </c>
      <c r="B706" t="str">
        <f>T("   Burundi")</f>
        <v xml:space="preserve">   Burundi</v>
      </c>
      <c r="C706">
        <v>100000</v>
      </c>
      <c r="D706">
        <v>150</v>
      </c>
    </row>
    <row r="707" spans="1:4" x14ac:dyDescent="0.25">
      <c r="A707" t="str">
        <f>T("   CD")</f>
        <v xml:space="preserve">   CD</v>
      </c>
      <c r="B707" t="str">
        <f>T("   Congo, République Démocratique")</f>
        <v xml:space="preserve">   Congo, République Démocratique</v>
      </c>
      <c r="C707">
        <v>4604839</v>
      </c>
      <c r="D707">
        <v>22730</v>
      </c>
    </row>
    <row r="708" spans="1:4" x14ac:dyDescent="0.25">
      <c r="A708" t="str">
        <f>T("   CI")</f>
        <v xml:space="preserve">   CI</v>
      </c>
      <c r="B708" t="str">
        <f>T("   Côte d'Ivoire")</f>
        <v xml:space="preserve">   Côte d'Ivoire</v>
      </c>
      <c r="C708">
        <v>450000</v>
      </c>
      <c r="D708">
        <v>300</v>
      </c>
    </row>
    <row r="709" spans="1:4" x14ac:dyDescent="0.25">
      <c r="A709" t="str">
        <f>T("   FR")</f>
        <v xml:space="preserve">   FR</v>
      </c>
      <c r="B709" t="str">
        <f>T("   France")</f>
        <v xml:space="preserve">   France</v>
      </c>
      <c r="C709">
        <v>1950090</v>
      </c>
      <c r="D709">
        <v>2161</v>
      </c>
    </row>
    <row r="710" spans="1:4" x14ac:dyDescent="0.25">
      <c r="A710" t="str">
        <f>T("   KE")</f>
        <v xml:space="preserve">   KE</v>
      </c>
      <c r="B710" t="str">
        <f>T("   Kenya")</f>
        <v xml:space="preserve">   Kenya</v>
      </c>
      <c r="C710">
        <v>150000</v>
      </c>
      <c r="D710">
        <v>200</v>
      </c>
    </row>
    <row r="711" spans="1:4" x14ac:dyDescent="0.25">
      <c r="A711" t="str">
        <f>T("   KH")</f>
        <v xml:space="preserve">   KH</v>
      </c>
      <c r="B711" t="str">
        <f>T("   Cambodge")</f>
        <v xml:space="preserve">   Cambodge</v>
      </c>
      <c r="C711">
        <v>200000</v>
      </c>
      <c r="D711">
        <v>150</v>
      </c>
    </row>
    <row r="712" spans="1:4" x14ac:dyDescent="0.25">
      <c r="A712" t="str">
        <f>T("   LK")</f>
        <v xml:space="preserve">   LK</v>
      </c>
      <c r="B712" t="str">
        <f>T("   Sri Lanka")</f>
        <v xml:space="preserve">   Sri Lanka</v>
      </c>
      <c r="C712">
        <v>3750000</v>
      </c>
      <c r="D712">
        <v>4600</v>
      </c>
    </row>
    <row r="713" spans="1:4" x14ac:dyDescent="0.25">
      <c r="A713" t="str">
        <f>T("   SN")</f>
        <v xml:space="preserve">   SN</v>
      </c>
      <c r="B713" t="str">
        <f>T("   Sénégal")</f>
        <v xml:space="preserve">   Sénégal</v>
      </c>
      <c r="C713">
        <v>6344752</v>
      </c>
      <c r="D713">
        <v>15470</v>
      </c>
    </row>
    <row r="714" spans="1:4" x14ac:dyDescent="0.25">
      <c r="A714" t="str">
        <f>T("   SR")</f>
        <v xml:space="preserve">   SR</v>
      </c>
      <c r="B714" t="str">
        <f>T("   Suriname")</f>
        <v xml:space="preserve">   Suriname</v>
      </c>
      <c r="C714">
        <v>2000000</v>
      </c>
      <c r="D714">
        <v>3000</v>
      </c>
    </row>
    <row r="715" spans="1:4" x14ac:dyDescent="0.25">
      <c r="A715" t="str">
        <f>T("   TN")</f>
        <v xml:space="preserve">   TN</v>
      </c>
      <c r="B715" t="str">
        <f>T("   Tunisie")</f>
        <v xml:space="preserve">   Tunisie</v>
      </c>
      <c r="C715">
        <v>200000</v>
      </c>
      <c r="D715">
        <v>100</v>
      </c>
    </row>
    <row r="716" spans="1:4" x14ac:dyDescent="0.25">
      <c r="A716" t="str">
        <f>T("   ZA")</f>
        <v xml:space="preserve">   ZA</v>
      </c>
      <c r="B716" t="str">
        <f>T("   Afrique du Sud")</f>
        <v xml:space="preserve">   Afrique du Sud</v>
      </c>
      <c r="C716">
        <v>600000</v>
      </c>
      <c r="D716">
        <v>750</v>
      </c>
    </row>
    <row r="717" spans="1:4" x14ac:dyDescent="0.25">
      <c r="A717" t="str">
        <f>T("490290")</f>
        <v>490290</v>
      </c>
      <c r="B717" t="str">
        <f>T("Journaux et publications périodiques imprimés, même illustrés ou contenant de la publicité (à l'excl. des journaux et publications paraissant au moins quatre fois par semaine)")</f>
        <v>Journaux et publications périodiques imprimés, même illustrés ou contenant de la publicité (à l'excl. des journaux et publications paraissant au moins quatre fois par semaine)</v>
      </c>
    </row>
    <row r="718" spans="1:4" x14ac:dyDescent="0.25">
      <c r="A718" t="str">
        <f>T("   ZZZ_Monde")</f>
        <v xml:space="preserve">   ZZZ_Monde</v>
      </c>
      <c r="B718" t="str">
        <f>T("   ZZZ_Monde")</f>
        <v xml:space="preserve">   ZZZ_Monde</v>
      </c>
      <c r="C718">
        <v>1000000</v>
      </c>
      <c r="D718">
        <v>760</v>
      </c>
    </row>
    <row r="719" spans="1:4" x14ac:dyDescent="0.25">
      <c r="A719" t="str">
        <f>T("   BR")</f>
        <v xml:space="preserve">   BR</v>
      </c>
      <c r="B719" t="str">
        <f>T("   Brésil")</f>
        <v xml:space="preserve">   Brésil</v>
      </c>
      <c r="C719">
        <v>1000000</v>
      </c>
      <c r="D719">
        <v>760</v>
      </c>
    </row>
    <row r="720" spans="1:4" x14ac:dyDescent="0.25">
      <c r="A720" t="str">
        <f>T("490700")</f>
        <v>490700</v>
      </c>
      <c r="B720" t="str">
        <f>T("TIMBRES-POSTE, TIMBRES FISCAUX ET ANALOGUES, NON-OBLITÉRÉS, AYANT COURS OU DESTINÉS À AVOIR COURS DANS LE PAYS DANS LEQUEL ILS ONT,  OU AURONT, UNE VALEUR FACIALE RECONNUE; PAPIER TIMBRÉ; BILLETS DE BANQUE; CHÈQUES; TITRES D'ACTIONS OU D'OBLIGATIONS ET TI")</f>
        <v>TIMBRES-POSTE, TIMBRES FISCAUX ET ANALOGUES, NON-OBLITÉRÉS, AYANT COURS OU DESTINÉS À AVOIR COURS DANS LE PAYS DANS LEQUEL ILS ONT,  OU AURONT, UNE VALEUR FACIALE RECONNUE; PAPIER TIMBRÉ; BILLETS DE BANQUE; CHÈQUES; TITRES D'ACTIONS OU D'OBLIGATIONS ET TI</v>
      </c>
    </row>
    <row r="721" spans="1:4" x14ac:dyDescent="0.25">
      <c r="A721" t="str">
        <f>T("   ZZZ_Monde")</f>
        <v xml:space="preserve">   ZZZ_Monde</v>
      </c>
      <c r="B721" t="str">
        <f>T("   ZZZ_Monde")</f>
        <v xml:space="preserve">   ZZZ_Monde</v>
      </c>
      <c r="C721">
        <v>21900000</v>
      </c>
      <c r="D721">
        <v>10435</v>
      </c>
    </row>
    <row r="722" spans="1:4" x14ac:dyDescent="0.25">
      <c r="A722" t="str">
        <f>T("   BF")</f>
        <v xml:space="preserve">   BF</v>
      </c>
      <c r="B722" t="str">
        <f>T("   Burkina Faso")</f>
        <v xml:space="preserve">   Burkina Faso</v>
      </c>
      <c r="C722">
        <v>2300000</v>
      </c>
      <c r="D722">
        <v>1081</v>
      </c>
    </row>
    <row r="723" spans="1:4" x14ac:dyDescent="0.25">
      <c r="A723" t="str">
        <f>T("   CI")</f>
        <v xml:space="preserve">   CI</v>
      </c>
      <c r="B723" t="str">
        <f>T("   Côte d'Ivoire")</f>
        <v xml:space="preserve">   Côte d'Ivoire</v>
      </c>
      <c r="C723">
        <v>10100000</v>
      </c>
      <c r="D723">
        <v>4819</v>
      </c>
    </row>
    <row r="724" spans="1:4" x14ac:dyDescent="0.25">
      <c r="A724" t="str">
        <f>T("   FR")</f>
        <v xml:space="preserve">   FR</v>
      </c>
      <c r="B724" t="str">
        <f>T("   France")</f>
        <v xml:space="preserve">   France</v>
      </c>
      <c r="C724">
        <v>9500000</v>
      </c>
      <c r="D724">
        <v>4535</v>
      </c>
    </row>
    <row r="725" spans="1:4" x14ac:dyDescent="0.25">
      <c r="A725" t="str">
        <f>T("520100")</f>
        <v>520100</v>
      </c>
      <c r="B725" t="str">
        <f>T("COTON, NON-CARDÉ NI PEIGNÉ")</f>
        <v>COTON, NON-CARDÉ NI PEIGNÉ</v>
      </c>
    </row>
    <row r="726" spans="1:4" x14ac:dyDescent="0.25">
      <c r="A726" t="str">
        <f>T("   ZZZ_Monde")</f>
        <v xml:space="preserve">   ZZZ_Monde</v>
      </c>
      <c r="B726" t="str">
        <f>T("   ZZZ_Monde")</f>
        <v xml:space="preserve">   ZZZ_Monde</v>
      </c>
      <c r="C726">
        <v>88647010218</v>
      </c>
      <c r="D726">
        <v>101778304</v>
      </c>
    </row>
    <row r="727" spans="1:4" x14ac:dyDescent="0.25">
      <c r="A727" t="str">
        <f>T("   BD")</f>
        <v xml:space="preserve">   BD</v>
      </c>
      <c r="B727" t="str">
        <f>T("   Bangladesh")</f>
        <v xml:space="preserve">   Bangladesh</v>
      </c>
      <c r="C727">
        <v>8459687621</v>
      </c>
      <c r="D727">
        <v>9526493</v>
      </c>
    </row>
    <row r="728" spans="1:4" x14ac:dyDescent="0.25">
      <c r="A728" t="str">
        <f>T("   BE")</f>
        <v xml:space="preserve">   BE</v>
      </c>
      <c r="B728" t="str">
        <f>T("   Belgique")</f>
        <v xml:space="preserve">   Belgique</v>
      </c>
      <c r="C728">
        <v>131903783</v>
      </c>
      <c r="D728">
        <v>199854</v>
      </c>
    </row>
    <row r="729" spans="1:4" x14ac:dyDescent="0.25">
      <c r="A729" t="str">
        <f>T("   CN")</f>
        <v xml:space="preserve">   CN</v>
      </c>
      <c r="B729" t="str">
        <f>T("   Chine")</f>
        <v xml:space="preserve">   Chine</v>
      </c>
      <c r="C729">
        <v>41317141914</v>
      </c>
      <c r="D729">
        <v>48114269</v>
      </c>
    </row>
    <row r="730" spans="1:4" x14ac:dyDescent="0.25">
      <c r="A730" t="str">
        <f>T("   EG")</f>
        <v xml:space="preserve">   EG</v>
      </c>
      <c r="B730" t="str">
        <f>T("   Egypte")</f>
        <v xml:space="preserve">   Egypte</v>
      </c>
      <c r="C730">
        <v>5198386503</v>
      </c>
      <c r="D730">
        <v>5878726</v>
      </c>
    </row>
    <row r="731" spans="1:4" x14ac:dyDescent="0.25">
      <c r="A731" t="str">
        <f>T("   ES")</f>
        <v xml:space="preserve">   ES</v>
      </c>
      <c r="B731" t="str">
        <f>T("   Espagne")</f>
        <v xml:space="preserve">   Espagne</v>
      </c>
      <c r="C731">
        <v>359928720</v>
      </c>
      <c r="D731">
        <v>499901</v>
      </c>
    </row>
    <row r="732" spans="1:4" x14ac:dyDescent="0.25">
      <c r="A732" t="str">
        <f>T("   FR")</f>
        <v xml:space="preserve">   FR</v>
      </c>
      <c r="B732" t="str">
        <f>T("   France")</f>
        <v xml:space="preserve">   France</v>
      </c>
      <c r="C732">
        <v>174563353</v>
      </c>
      <c r="D732">
        <v>189446</v>
      </c>
    </row>
    <row r="733" spans="1:4" x14ac:dyDescent="0.25">
      <c r="A733" t="str">
        <f>T("   ID")</f>
        <v xml:space="preserve">   ID</v>
      </c>
      <c r="B733" t="str">
        <f>T("   Indonésie")</f>
        <v xml:space="preserve">   Indonésie</v>
      </c>
      <c r="C733">
        <v>10823344103</v>
      </c>
      <c r="D733">
        <v>12452795</v>
      </c>
    </row>
    <row r="734" spans="1:4" x14ac:dyDescent="0.25">
      <c r="A734" t="str">
        <f>T("   IN")</f>
        <v xml:space="preserve">   IN</v>
      </c>
      <c r="B734" t="str">
        <f>T("   Inde")</f>
        <v xml:space="preserve">   Inde</v>
      </c>
      <c r="C734">
        <v>4669121291</v>
      </c>
      <c r="D734">
        <v>5076969</v>
      </c>
    </row>
    <row r="735" spans="1:4" x14ac:dyDescent="0.25">
      <c r="A735" t="str">
        <f>T("   MA")</f>
        <v xml:space="preserve">   MA</v>
      </c>
      <c r="B735" t="str">
        <f>T("   Maroc")</f>
        <v xml:space="preserve">   Maroc</v>
      </c>
      <c r="C735">
        <v>474882119</v>
      </c>
      <c r="D735">
        <v>577899</v>
      </c>
    </row>
    <row r="736" spans="1:4" x14ac:dyDescent="0.25">
      <c r="A736" t="str">
        <f>T("   MU")</f>
        <v xml:space="preserve">   MU</v>
      </c>
      <c r="B736" t="str">
        <f>T("   Maurice, île")</f>
        <v xml:space="preserve">   Maurice, île</v>
      </c>
      <c r="C736">
        <v>38338700</v>
      </c>
      <c r="D736">
        <v>48530</v>
      </c>
    </row>
    <row r="737" spans="1:4" x14ac:dyDescent="0.25">
      <c r="A737" t="str">
        <f>T("   MY")</f>
        <v xml:space="preserve">   MY</v>
      </c>
      <c r="B737" t="str">
        <f>T("   Malaisie")</f>
        <v xml:space="preserve">   Malaisie</v>
      </c>
      <c r="C737">
        <v>8084315491</v>
      </c>
      <c r="D737">
        <v>9104939</v>
      </c>
    </row>
    <row r="738" spans="1:4" x14ac:dyDescent="0.25">
      <c r="A738" t="str">
        <f>T("   PK")</f>
        <v xml:space="preserve">   PK</v>
      </c>
      <c r="B738" t="str">
        <f>T("   Pakistan")</f>
        <v xml:space="preserve">   Pakistan</v>
      </c>
      <c r="C738">
        <v>379252372</v>
      </c>
      <c r="D738">
        <v>399975</v>
      </c>
    </row>
    <row r="739" spans="1:4" x14ac:dyDescent="0.25">
      <c r="A739" t="str">
        <f>T("   PT")</f>
        <v xml:space="preserve">   PT</v>
      </c>
      <c r="B739" t="str">
        <f>T("   Portugal")</f>
        <v xml:space="preserve">   Portugal</v>
      </c>
      <c r="C739">
        <v>310043193</v>
      </c>
      <c r="D739">
        <v>445562</v>
      </c>
    </row>
    <row r="740" spans="1:4" x14ac:dyDescent="0.25">
      <c r="A740" t="str">
        <f>T("   SG")</f>
        <v xml:space="preserve">   SG</v>
      </c>
      <c r="B740" t="str">
        <f>T("   Singapour")</f>
        <v xml:space="preserve">   Singapour</v>
      </c>
      <c r="C740">
        <v>2759090465</v>
      </c>
      <c r="D740">
        <v>3070466</v>
      </c>
    </row>
    <row r="741" spans="1:4" x14ac:dyDescent="0.25">
      <c r="A741" t="str">
        <f>T("   TH")</f>
        <v xml:space="preserve">   TH</v>
      </c>
      <c r="B741" t="str">
        <f>T("   Thaïlande")</f>
        <v xml:space="preserve">   Thaïlande</v>
      </c>
      <c r="C741">
        <v>1122477745</v>
      </c>
      <c r="D741">
        <v>1306259</v>
      </c>
    </row>
    <row r="742" spans="1:4" x14ac:dyDescent="0.25">
      <c r="A742" t="str">
        <f>T("   TW")</f>
        <v xml:space="preserve">   TW</v>
      </c>
      <c r="B742" t="str">
        <f>T("   Taïwan, Province de Chine")</f>
        <v xml:space="preserve">   Taïwan, Province de Chine</v>
      </c>
      <c r="C742">
        <v>819559178</v>
      </c>
      <c r="D742">
        <v>889043</v>
      </c>
    </row>
    <row r="743" spans="1:4" x14ac:dyDescent="0.25">
      <c r="A743" t="str">
        <f>T("   VN")</f>
        <v xml:space="preserve">   VN</v>
      </c>
      <c r="B743" t="str">
        <f>T("   Vietnam")</f>
        <v xml:space="preserve">   Vietnam</v>
      </c>
      <c r="C743">
        <v>3524973667</v>
      </c>
      <c r="D743">
        <v>3997178</v>
      </c>
    </row>
    <row r="744" spans="1:4" x14ac:dyDescent="0.25">
      <c r="A744" t="str">
        <f>T("520512")</f>
        <v>520512</v>
      </c>
      <c r="B744" t="str">
        <f>T("Fils simples de coton, en fibres non peignées, contenant &gt;= 85% en poids de coton, titrant &gt;= 232,56 décitex mais &lt; 714,29 décitex [&gt; 14 numéros métriques mais &lt;= 43 numéros métriques] (sauf les fils à coudre et les fils conditionnés pour la vente au déta")</f>
        <v>Fils simples de coton, en fibres non peignées, contenant &gt;= 85% en poids de coton, titrant &gt;= 232,56 décitex mais &lt; 714,29 décitex [&gt; 14 numéros métriques mais &lt;= 43 numéros métriques] (sauf les fils à coudre et les fils conditionnés pour la vente au déta</v>
      </c>
    </row>
    <row r="745" spans="1:4" x14ac:dyDescent="0.25">
      <c r="A745" t="str">
        <f>T("   ZZZ_Monde")</f>
        <v xml:space="preserve">   ZZZ_Monde</v>
      </c>
      <c r="B745" t="str">
        <f>T("   ZZZ_Monde")</f>
        <v xml:space="preserve">   ZZZ_Monde</v>
      </c>
      <c r="C745">
        <v>639187100</v>
      </c>
      <c r="D745">
        <v>401000</v>
      </c>
    </row>
    <row r="746" spans="1:4" x14ac:dyDescent="0.25">
      <c r="A746" t="str">
        <f>T("   CN")</f>
        <v xml:space="preserve">   CN</v>
      </c>
      <c r="B746" t="str">
        <f>T("   Chine")</f>
        <v xml:space="preserve">   Chine</v>
      </c>
      <c r="C746">
        <v>639187100</v>
      </c>
      <c r="D746">
        <v>401000</v>
      </c>
    </row>
    <row r="747" spans="1:4" x14ac:dyDescent="0.25">
      <c r="A747" t="str">
        <f>T("520811")</f>
        <v>520811</v>
      </c>
      <c r="B747" t="str">
        <f>T("Tissus de coton, écrus, à armure toile, contenant &gt;= 85% en poids de coton, d'un poids &lt;= 100 g/m²")</f>
        <v>Tissus de coton, écrus, à armure toile, contenant &gt;= 85% en poids de coton, d'un poids &lt;= 100 g/m²</v>
      </c>
    </row>
    <row r="748" spans="1:4" x14ac:dyDescent="0.25">
      <c r="A748" t="str">
        <f>T("   ZZZ_Monde")</f>
        <v xml:space="preserve">   ZZZ_Monde</v>
      </c>
      <c r="B748" t="str">
        <f>T("   ZZZ_Monde")</f>
        <v xml:space="preserve">   ZZZ_Monde</v>
      </c>
      <c r="C748">
        <v>7700000</v>
      </c>
      <c r="D748">
        <v>12435</v>
      </c>
    </row>
    <row r="749" spans="1:4" x14ac:dyDescent="0.25">
      <c r="A749" t="str">
        <f>T("   NG")</f>
        <v xml:space="preserve">   NG</v>
      </c>
      <c r="B749" t="str">
        <f>T("   Nigéria")</f>
        <v xml:space="preserve">   Nigéria</v>
      </c>
      <c r="C749">
        <v>7700000</v>
      </c>
      <c r="D749">
        <v>12435</v>
      </c>
    </row>
    <row r="750" spans="1:4" x14ac:dyDescent="0.25">
      <c r="A750" t="str">
        <f>T("520812")</f>
        <v>520812</v>
      </c>
      <c r="B750" t="str">
        <f>T("Tissus de coton, écrus, à armure toile, contenant &gt;= 85% en poids de coton, d'un poids &gt; 100 g/m² mais &lt;= 200 g/m²")</f>
        <v>Tissus de coton, écrus, à armure toile, contenant &gt;= 85% en poids de coton, d'un poids &gt; 100 g/m² mais &lt;= 200 g/m²</v>
      </c>
    </row>
    <row r="751" spans="1:4" x14ac:dyDescent="0.25">
      <c r="A751" t="str">
        <f>T("   ZZZ_Monde")</f>
        <v xml:space="preserve">   ZZZ_Monde</v>
      </c>
      <c r="B751" t="str">
        <f>T("   ZZZ_Monde")</f>
        <v xml:space="preserve">   ZZZ_Monde</v>
      </c>
      <c r="C751">
        <v>5624621798</v>
      </c>
      <c r="D751">
        <v>2093449</v>
      </c>
    </row>
    <row r="752" spans="1:4" x14ac:dyDescent="0.25">
      <c r="A752" t="str">
        <f>T("   CI")</f>
        <v xml:space="preserve">   CI</v>
      </c>
      <c r="B752" t="str">
        <f>T("   Côte d'Ivoire")</f>
        <v xml:space="preserve">   Côte d'Ivoire</v>
      </c>
      <c r="C752">
        <v>3784281480</v>
      </c>
      <c r="D752">
        <v>1416354</v>
      </c>
    </row>
    <row r="753" spans="1:4" x14ac:dyDescent="0.25">
      <c r="A753" t="str">
        <f>T("   GH")</f>
        <v xml:space="preserve">   GH</v>
      </c>
      <c r="B753" t="str">
        <f>T("   Ghana")</f>
        <v xml:space="preserve">   Ghana</v>
      </c>
      <c r="C753">
        <v>1698608046</v>
      </c>
      <c r="D753">
        <v>631996</v>
      </c>
    </row>
    <row r="754" spans="1:4" x14ac:dyDescent="0.25">
      <c r="A754" t="str">
        <f>T("   NE")</f>
        <v xml:space="preserve">   NE</v>
      </c>
      <c r="B754" t="str">
        <f>T("   Niger")</f>
        <v xml:space="preserve">   Niger</v>
      </c>
      <c r="C754">
        <v>25200000</v>
      </c>
      <c r="D754">
        <v>14520</v>
      </c>
    </row>
    <row r="755" spans="1:4" x14ac:dyDescent="0.25">
      <c r="A755" t="str">
        <f>T("   TG")</f>
        <v xml:space="preserve">   TG</v>
      </c>
      <c r="B755" t="str">
        <f>T("   Togo")</f>
        <v xml:space="preserve">   Togo</v>
      </c>
      <c r="C755">
        <v>116532272</v>
      </c>
      <c r="D755">
        <v>30579</v>
      </c>
    </row>
    <row r="756" spans="1:4" x14ac:dyDescent="0.25">
      <c r="A756" t="str">
        <f>T("520819")</f>
        <v>520819</v>
      </c>
      <c r="B756" t="str">
        <f>T("Tissus de coton, écrus, contenant &gt;= 85% en poids de coton, d'un poids &lt;= 200 g/m² (à l'excl. des tissus à armure toile ou à armure sergé [y.c. le croisé] d'un rapport d'armure &lt;= 4)")</f>
        <v>Tissus de coton, écrus, contenant &gt;= 85% en poids de coton, d'un poids &lt;= 200 g/m² (à l'excl. des tissus à armure toile ou à armure sergé [y.c. le croisé] d'un rapport d'armure &lt;= 4)</v>
      </c>
    </row>
    <row r="757" spans="1:4" x14ac:dyDescent="0.25">
      <c r="A757" t="str">
        <f>T("   ZZZ_Monde")</f>
        <v xml:space="preserve">   ZZZ_Monde</v>
      </c>
      <c r="B757" t="str">
        <f>T("   ZZZ_Monde")</f>
        <v xml:space="preserve">   ZZZ_Monde</v>
      </c>
      <c r="C757">
        <v>55000000</v>
      </c>
      <c r="D757">
        <v>48400</v>
      </c>
    </row>
    <row r="758" spans="1:4" x14ac:dyDescent="0.25">
      <c r="A758" t="str">
        <f>T("   ML")</f>
        <v xml:space="preserve">   ML</v>
      </c>
      <c r="B758" t="str">
        <f>T("   Mali")</f>
        <v xml:space="preserve">   Mali</v>
      </c>
      <c r="C758">
        <v>13000000</v>
      </c>
      <c r="D758">
        <v>24200</v>
      </c>
    </row>
    <row r="759" spans="1:4" x14ac:dyDescent="0.25">
      <c r="A759" t="str">
        <f>T("   NE")</f>
        <v xml:space="preserve">   NE</v>
      </c>
      <c r="B759" t="str">
        <f>T("   Niger")</f>
        <v xml:space="preserve">   Niger</v>
      </c>
      <c r="C759">
        <v>42000000</v>
      </c>
      <c r="D759">
        <v>24200</v>
      </c>
    </row>
    <row r="760" spans="1:4" x14ac:dyDescent="0.25">
      <c r="A760" t="str">
        <f>T("520821")</f>
        <v>520821</v>
      </c>
      <c r="B760" t="str">
        <f>T("Tissus de coton, blanchis, à armure toile, contenant &gt;= 85% en poids de coton, d'un poids &lt;= 100 g/m²")</f>
        <v>Tissus de coton, blanchis, à armure toile, contenant &gt;= 85% en poids de coton, d'un poids &lt;= 100 g/m²</v>
      </c>
    </row>
    <row r="761" spans="1:4" x14ac:dyDescent="0.25">
      <c r="A761" t="str">
        <f>T("   ZZZ_Monde")</f>
        <v xml:space="preserve">   ZZZ_Monde</v>
      </c>
      <c r="B761" t="str">
        <f>T("   ZZZ_Monde")</f>
        <v xml:space="preserve">   ZZZ_Monde</v>
      </c>
      <c r="C761">
        <v>6600000</v>
      </c>
      <c r="D761">
        <v>13048</v>
      </c>
    </row>
    <row r="762" spans="1:4" x14ac:dyDescent="0.25">
      <c r="A762" t="str">
        <f>T("   NG")</f>
        <v xml:space="preserve">   NG</v>
      </c>
      <c r="B762" t="str">
        <f>T("   Nigéria")</f>
        <v xml:space="preserve">   Nigéria</v>
      </c>
      <c r="C762">
        <v>6600000</v>
      </c>
      <c r="D762">
        <v>13048</v>
      </c>
    </row>
    <row r="763" spans="1:4" x14ac:dyDescent="0.25">
      <c r="A763" t="str">
        <f>T("520852")</f>
        <v>520852</v>
      </c>
      <c r="B763" t="str">
        <f>T("Tissus de coton, imprimés, à armure toile, contenant &gt;= 85% en poids de coton, d'un poids &gt; 100 g/m² mais &lt;= 200 g/m²")</f>
        <v>Tissus de coton, imprimés, à armure toile, contenant &gt;= 85% en poids de coton, d'un poids &gt; 100 g/m² mais &lt;= 200 g/m²</v>
      </c>
    </row>
    <row r="764" spans="1:4" x14ac:dyDescent="0.25">
      <c r="A764" t="str">
        <f>T("   ZZZ_Monde")</f>
        <v xml:space="preserve">   ZZZ_Monde</v>
      </c>
      <c r="B764" t="str">
        <f>T("   ZZZ_Monde")</f>
        <v xml:space="preserve">   ZZZ_Monde</v>
      </c>
      <c r="C764">
        <v>70450000</v>
      </c>
      <c r="D764">
        <v>64730</v>
      </c>
    </row>
    <row r="765" spans="1:4" x14ac:dyDescent="0.25">
      <c r="A765" t="str">
        <f>T("   CG")</f>
        <v xml:space="preserve">   CG</v>
      </c>
      <c r="B765" t="str">
        <f>T("   Congo (Brazzaville)")</f>
        <v xml:space="preserve">   Congo (Brazzaville)</v>
      </c>
      <c r="C765">
        <v>9500000</v>
      </c>
      <c r="D765">
        <v>18000</v>
      </c>
    </row>
    <row r="766" spans="1:4" x14ac:dyDescent="0.25">
      <c r="A766" t="str">
        <f>T("   NE")</f>
        <v xml:space="preserve">   NE</v>
      </c>
      <c r="B766" t="str">
        <f>T("   Niger")</f>
        <v xml:space="preserve">   Niger</v>
      </c>
      <c r="C766">
        <v>21500000</v>
      </c>
      <c r="D766">
        <v>16450</v>
      </c>
    </row>
    <row r="767" spans="1:4" x14ac:dyDescent="0.25">
      <c r="A767" t="str">
        <f>T("   NG")</f>
        <v xml:space="preserve">   NG</v>
      </c>
      <c r="B767" t="str">
        <f>T("   Nigéria")</f>
        <v xml:space="preserve">   Nigéria</v>
      </c>
      <c r="C767">
        <v>39450000</v>
      </c>
      <c r="D767">
        <v>30280</v>
      </c>
    </row>
    <row r="768" spans="1:4" x14ac:dyDescent="0.25">
      <c r="A768" t="str">
        <f>T("520951")</f>
        <v>520951</v>
      </c>
      <c r="B768" t="str">
        <f>T("Tissus de coton, imprimés, à armure toile, contenant &gt;= 85% en poids de coton, d'un poids &gt; 200 g/m²")</f>
        <v>Tissus de coton, imprimés, à armure toile, contenant &gt;= 85% en poids de coton, d'un poids &gt; 200 g/m²</v>
      </c>
    </row>
    <row r="769" spans="1:4" x14ac:dyDescent="0.25">
      <c r="A769" t="str">
        <f>T("   ZZZ_Monde")</f>
        <v xml:space="preserve">   ZZZ_Monde</v>
      </c>
      <c r="B769" t="str">
        <f>T("   ZZZ_Monde")</f>
        <v xml:space="preserve">   ZZZ_Monde</v>
      </c>
      <c r="C769">
        <v>1550450</v>
      </c>
      <c r="D769">
        <v>775</v>
      </c>
    </row>
    <row r="770" spans="1:4" x14ac:dyDescent="0.25">
      <c r="A770" t="str">
        <f>T("   BF")</f>
        <v xml:space="preserve">   BF</v>
      </c>
      <c r="B770" t="str">
        <f>T("   Burkina Faso")</f>
        <v xml:space="preserve">   Burkina Faso</v>
      </c>
      <c r="C770">
        <v>1550450</v>
      </c>
      <c r="D770">
        <v>775</v>
      </c>
    </row>
    <row r="771" spans="1:4" x14ac:dyDescent="0.25">
      <c r="A771" t="str">
        <f>T("521211")</f>
        <v>521211</v>
      </c>
      <c r="B771" t="str">
        <f>T("Tissus de coton, écrus, contenant en prédominance, mais &lt; 85% en poids de coton, autres que mélangés principalement ou uniquement avec des fibres synthétiques ou artificielles, d'un poids &lt;= 200 g/m²")</f>
        <v>Tissus de coton, écrus, contenant en prédominance, mais &lt; 85% en poids de coton, autres que mélangés principalement ou uniquement avec des fibres synthétiques ou artificielles, d'un poids &lt;= 200 g/m²</v>
      </c>
    </row>
    <row r="772" spans="1:4" x14ac:dyDescent="0.25">
      <c r="A772" t="str">
        <f>T("   ZZZ_Monde")</f>
        <v xml:space="preserve">   ZZZ_Monde</v>
      </c>
      <c r="B772" t="str">
        <f>T("   ZZZ_Monde")</f>
        <v xml:space="preserve">   ZZZ_Monde</v>
      </c>
      <c r="C772">
        <v>230504108</v>
      </c>
      <c r="D772">
        <v>98525</v>
      </c>
    </row>
    <row r="773" spans="1:4" x14ac:dyDescent="0.25">
      <c r="A773" t="str">
        <f>T("   CM")</f>
        <v xml:space="preserve">   CM</v>
      </c>
      <c r="B773" t="str">
        <f>T("   Cameroun")</f>
        <v xml:space="preserve">   Cameroun</v>
      </c>
      <c r="C773">
        <v>218884108</v>
      </c>
      <c r="D773">
        <v>82416</v>
      </c>
    </row>
    <row r="774" spans="1:4" x14ac:dyDescent="0.25">
      <c r="A774" t="str">
        <f>T("   NG")</f>
        <v xml:space="preserve">   NG</v>
      </c>
      <c r="B774" t="str">
        <f>T("   Nigéria")</f>
        <v xml:space="preserve">   Nigéria</v>
      </c>
      <c r="C774">
        <v>11620000</v>
      </c>
      <c r="D774">
        <v>16109</v>
      </c>
    </row>
    <row r="775" spans="1:4" x14ac:dyDescent="0.25">
      <c r="A775" t="str">
        <f>T("521225")</f>
        <v>521225</v>
      </c>
      <c r="B775" t="str">
        <f>T("Tissus de coton, imprimés, contenant en prédominance, mais &lt; 85% en poids de coton, autres que mélangés principalement ou uniquement avec des fibres synthétiques ou artificielles, d'un poids &gt; 200 g/m²")</f>
        <v>Tissus de coton, imprimés, contenant en prédominance, mais &lt; 85% en poids de coton, autres que mélangés principalement ou uniquement avec des fibres synthétiques ou artificielles, d'un poids &gt; 200 g/m²</v>
      </c>
    </row>
    <row r="776" spans="1:4" x14ac:dyDescent="0.25">
      <c r="A776" t="str">
        <f>T("   ZZZ_Monde")</f>
        <v xml:space="preserve">   ZZZ_Monde</v>
      </c>
      <c r="B776" t="str">
        <f>T("   ZZZ_Monde")</f>
        <v xml:space="preserve">   ZZZ_Monde</v>
      </c>
      <c r="C776">
        <v>9000000</v>
      </c>
      <c r="D776">
        <v>18450</v>
      </c>
    </row>
    <row r="777" spans="1:4" x14ac:dyDescent="0.25">
      <c r="A777" t="str">
        <f>T("   CI")</f>
        <v xml:space="preserve">   CI</v>
      </c>
      <c r="B777" t="str">
        <f>T("   Côte d'Ivoire")</f>
        <v xml:space="preserve">   Côte d'Ivoire</v>
      </c>
      <c r="C777">
        <v>9000000</v>
      </c>
      <c r="D777">
        <v>18450</v>
      </c>
    </row>
    <row r="778" spans="1:4" x14ac:dyDescent="0.25">
      <c r="A778" t="str">
        <f>T("530390")</f>
        <v>530390</v>
      </c>
      <c r="B778" t="str">
        <f>T("Jute et autres fibres textiles libériennes, travaillés mais non filés (à l'excl. des produits rouis ainsi que du lin, du chanvre et de la ramie); étoupes et déchets de ces fibres, y.c. les déchets de fils et les effilochés")</f>
        <v>Jute et autres fibres textiles libériennes, travaillés mais non filés (à l'excl. des produits rouis ainsi que du lin, du chanvre et de la ramie); étoupes et déchets de ces fibres, y.c. les déchets de fils et les effilochés</v>
      </c>
    </row>
    <row r="779" spans="1:4" x14ac:dyDescent="0.25">
      <c r="A779" t="str">
        <f>T("   ZZZ_Monde")</f>
        <v xml:space="preserve">   ZZZ_Monde</v>
      </c>
      <c r="B779" t="str">
        <f>T("   ZZZ_Monde")</f>
        <v xml:space="preserve">   ZZZ_Monde</v>
      </c>
      <c r="C779">
        <v>17681363</v>
      </c>
      <c r="D779">
        <v>31811</v>
      </c>
    </row>
    <row r="780" spans="1:4" x14ac:dyDescent="0.25">
      <c r="A780" t="str">
        <f>T("   CI")</f>
        <v xml:space="preserve">   CI</v>
      </c>
      <c r="B780" t="str">
        <f>T("   Côte d'Ivoire")</f>
        <v xml:space="preserve">   Côte d'Ivoire</v>
      </c>
      <c r="C780">
        <v>6265699</v>
      </c>
      <c r="D780">
        <v>11297</v>
      </c>
    </row>
    <row r="781" spans="1:4" x14ac:dyDescent="0.25">
      <c r="A781" t="str">
        <f>T("   VN")</f>
        <v xml:space="preserve">   VN</v>
      </c>
      <c r="B781" t="str">
        <f>T("   Vietnam")</f>
        <v xml:space="preserve">   Vietnam</v>
      </c>
      <c r="C781">
        <v>11415664</v>
      </c>
      <c r="D781">
        <v>20514</v>
      </c>
    </row>
    <row r="782" spans="1:4" x14ac:dyDescent="0.25">
      <c r="A782" t="str">
        <f>T("551449")</f>
        <v>551449</v>
      </c>
      <c r="B782" t="str">
        <f>T("Tissus, imprimés, de fibres synthétiques discontinues, contenant en prédominance, mais &lt; 85% en poids de ces fibres, mélangés principalement ou uniquement avec du coton, d'un poids &gt; 170 g/m² (à l'excl. des tissus de fibres discontinues de polyester)")</f>
        <v>Tissus, imprimés, de fibres synthétiques discontinues, contenant en prédominance, mais &lt; 85% en poids de ces fibres, mélangés principalement ou uniquement avec du coton, d'un poids &gt; 170 g/m² (à l'excl. des tissus de fibres discontinues de polyester)</v>
      </c>
    </row>
    <row r="783" spans="1:4" x14ac:dyDescent="0.25">
      <c r="A783" t="str">
        <f>T("   ZZZ_Monde")</f>
        <v xml:space="preserve">   ZZZ_Monde</v>
      </c>
      <c r="B783" t="str">
        <f>T("   ZZZ_Monde")</f>
        <v xml:space="preserve">   ZZZ_Monde</v>
      </c>
      <c r="C783">
        <v>8000000</v>
      </c>
      <c r="D783">
        <v>21000</v>
      </c>
    </row>
    <row r="784" spans="1:4" x14ac:dyDescent="0.25">
      <c r="A784" t="str">
        <f>T("   GM")</f>
        <v xml:space="preserve">   GM</v>
      </c>
      <c r="B784" t="str">
        <f>T("   Gambie")</f>
        <v xml:space="preserve">   Gambie</v>
      </c>
      <c r="C784">
        <v>8000000</v>
      </c>
      <c r="D784">
        <v>21000</v>
      </c>
    </row>
    <row r="785" spans="1:4" x14ac:dyDescent="0.25">
      <c r="A785" t="str">
        <f>T("560110")</f>
        <v>560110</v>
      </c>
      <c r="B785" t="str">
        <f>T("Serviettes et tampons hygiéniques, couches pour bébés et articles hygiéniques simil., en ouates")</f>
        <v>Serviettes et tampons hygiéniques, couches pour bébés et articles hygiéniques simil., en ouates</v>
      </c>
    </row>
    <row r="786" spans="1:4" x14ac:dyDescent="0.25">
      <c r="A786" t="str">
        <f>T("   ZZZ_Monde")</f>
        <v xml:space="preserve">   ZZZ_Monde</v>
      </c>
      <c r="B786" t="str">
        <f>T("   ZZZ_Monde")</f>
        <v xml:space="preserve">   ZZZ_Monde</v>
      </c>
      <c r="C786">
        <v>7425000</v>
      </c>
      <c r="D786">
        <v>63700</v>
      </c>
    </row>
    <row r="787" spans="1:4" x14ac:dyDescent="0.25">
      <c r="A787" t="str">
        <f>T("   AE")</f>
        <v xml:space="preserve">   AE</v>
      </c>
      <c r="B787" t="str">
        <f>T("   Emirats Arabes Unis")</f>
        <v xml:space="preserve">   Emirats Arabes Unis</v>
      </c>
      <c r="C787">
        <v>7425000</v>
      </c>
      <c r="D787">
        <v>63700</v>
      </c>
    </row>
    <row r="788" spans="1:4" x14ac:dyDescent="0.25">
      <c r="A788" t="str">
        <f>T("580310")</f>
        <v>580310</v>
      </c>
      <c r="B788" t="str">
        <f>T("Tissus à point de gaze, de coton (à l'excl. des articles de rubanerie du n° 5806)")</f>
        <v>Tissus à point de gaze, de coton (à l'excl. des articles de rubanerie du n° 5806)</v>
      </c>
    </row>
    <row r="789" spans="1:4" x14ac:dyDescent="0.25">
      <c r="A789" t="str">
        <f>T("   ZZZ_Monde")</f>
        <v xml:space="preserve">   ZZZ_Monde</v>
      </c>
      <c r="B789" t="str">
        <f>T("   ZZZ_Monde")</f>
        <v xml:space="preserve">   ZZZ_Monde</v>
      </c>
      <c r="C789">
        <v>1220200</v>
      </c>
      <c r="D789">
        <v>220</v>
      </c>
    </row>
    <row r="790" spans="1:4" x14ac:dyDescent="0.25">
      <c r="A790" t="str">
        <f>T("   NE")</f>
        <v xml:space="preserve">   NE</v>
      </c>
      <c r="B790" t="str">
        <f>T("   Niger")</f>
        <v xml:space="preserve">   Niger</v>
      </c>
      <c r="C790">
        <v>1220200</v>
      </c>
      <c r="D790">
        <v>220</v>
      </c>
    </row>
    <row r="791" spans="1:4" x14ac:dyDescent="0.25">
      <c r="A791" t="str">
        <f>T("611430")</f>
        <v>611430</v>
      </c>
      <c r="B791" t="str">
        <f>T("Vêtements spéciaux destinés à des fins professionnelles, sportives ou autres n.d.a., en bonneterie, de fibres synthétiques ou artificielles")</f>
        <v>Vêtements spéciaux destinés à des fins professionnelles, sportives ou autres n.d.a., en bonneterie, de fibres synthétiques ou artificielles</v>
      </c>
    </row>
    <row r="792" spans="1:4" x14ac:dyDescent="0.25">
      <c r="A792" t="str">
        <f>T("   ZZZ_Monde")</f>
        <v xml:space="preserve">   ZZZ_Monde</v>
      </c>
      <c r="B792" t="str">
        <f>T("   ZZZ_Monde")</f>
        <v xml:space="preserve">   ZZZ_Monde</v>
      </c>
      <c r="C792">
        <v>4500000</v>
      </c>
      <c r="D792">
        <v>1200</v>
      </c>
    </row>
    <row r="793" spans="1:4" x14ac:dyDescent="0.25">
      <c r="A793" t="str">
        <f>T("   FR")</f>
        <v xml:space="preserve">   FR</v>
      </c>
      <c r="B793" t="str">
        <f>T("   France")</f>
        <v xml:space="preserve">   France</v>
      </c>
      <c r="C793">
        <v>4500000</v>
      </c>
      <c r="D793">
        <v>1200</v>
      </c>
    </row>
    <row r="794" spans="1:4" x14ac:dyDescent="0.25">
      <c r="A794" t="str">
        <f>T("620349")</f>
        <v>620349</v>
      </c>
      <c r="B794" t="str">
        <f>T("Pantalons, y.c. knickers et pantalons simil., salopettes à bretelles, culottes et shorts, de matières textiles, pour hommes ou garçonnets (autres que laine, poils fins, coton ou fibres synthétiques, autres qu'en bonneterie et sauf slips et caleçons et mai")</f>
        <v>Pantalons, y.c. knickers et pantalons simil., salopettes à bretelles, culottes et shorts, de matières textiles, pour hommes ou garçonnets (autres que laine, poils fins, coton ou fibres synthétiques, autres qu'en bonneterie et sauf slips et caleçons et mai</v>
      </c>
    </row>
    <row r="795" spans="1:4" x14ac:dyDescent="0.25">
      <c r="A795" t="str">
        <f>T("   ZZZ_Monde")</f>
        <v xml:space="preserve">   ZZZ_Monde</v>
      </c>
      <c r="B795" t="str">
        <f>T("   ZZZ_Monde")</f>
        <v xml:space="preserve">   ZZZ_Monde</v>
      </c>
      <c r="C795">
        <v>1500000</v>
      </c>
      <c r="D795">
        <v>3200</v>
      </c>
    </row>
    <row r="796" spans="1:4" x14ac:dyDescent="0.25">
      <c r="A796" t="str">
        <f>T("   SN")</f>
        <v xml:space="preserve">   SN</v>
      </c>
      <c r="B796" t="str">
        <f>T("   Sénégal")</f>
        <v xml:space="preserve">   Sénégal</v>
      </c>
      <c r="C796">
        <v>1500000</v>
      </c>
      <c r="D796">
        <v>3200</v>
      </c>
    </row>
    <row r="797" spans="1:4" x14ac:dyDescent="0.25">
      <c r="A797" t="str">
        <f>T("620520")</f>
        <v>620520</v>
      </c>
      <c r="B797" t="str">
        <f>T("Chemises et chemisettes, de coton, pour hommes ou garçonnets (autres qu'en bonneterie et sauf chemises de nuit et gilets de corps)")</f>
        <v>Chemises et chemisettes, de coton, pour hommes ou garçonnets (autres qu'en bonneterie et sauf chemises de nuit et gilets de corps)</v>
      </c>
    </row>
    <row r="798" spans="1:4" x14ac:dyDescent="0.25">
      <c r="A798" t="str">
        <f>T("   ZZZ_Monde")</f>
        <v xml:space="preserve">   ZZZ_Monde</v>
      </c>
      <c r="B798" t="str">
        <f>T("   ZZZ_Monde")</f>
        <v xml:space="preserve">   ZZZ_Monde</v>
      </c>
      <c r="C798">
        <v>1750000</v>
      </c>
      <c r="D798">
        <v>2500</v>
      </c>
    </row>
    <row r="799" spans="1:4" x14ac:dyDescent="0.25">
      <c r="A799" t="str">
        <f>T("   BE")</f>
        <v xml:space="preserve">   BE</v>
      </c>
      <c r="B799" t="str">
        <f>T("   Belgique")</f>
        <v xml:space="preserve">   Belgique</v>
      </c>
      <c r="C799">
        <v>1750000</v>
      </c>
      <c r="D799">
        <v>2500</v>
      </c>
    </row>
    <row r="800" spans="1:4" x14ac:dyDescent="0.25">
      <c r="A800" t="str">
        <f>T("620590")</f>
        <v>620590</v>
      </c>
      <c r="B800" t="str">
        <f>T("CHEMISES ET CHEMISETTES, DE MATIÈRES TEXTILES, POUR HOMMES OU GARÇONNETS (AUTRES QUE DE COTON, FIBRES SYNTHÉTIQUES OU ARTIFICIELLES, AUTRES QU'EN BONNETERIE ET SAUF CHEMISES DE NUIT ET GILETS DE CORPS)")</f>
        <v>CHEMISES ET CHEMISETTES, DE MATIÈRES TEXTILES, POUR HOMMES OU GARÇONNETS (AUTRES QUE DE COTON, FIBRES SYNTHÉTIQUES OU ARTIFICIELLES, AUTRES QU'EN BONNETERIE ET SAUF CHEMISES DE NUIT ET GILETS DE CORPS)</v>
      </c>
    </row>
    <row r="801" spans="1:4" x14ac:dyDescent="0.25">
      <c r="A801" t="str">
        <f>T("   ZZZ_Monde")</f>
        <v xml:space="preserve">   ZZZ_Monde</v>
      </c>
      <c r="B801" t="str">
        <f>T("   ZZZ_Monde")</f>
        <v xml:space="preserve">   ZZZ_Monde</v>
      </c>
      <c r="C801">
        <v>39689000</v>
      </c>
      <c r="D801">
        <v>48853</v>
      </c>
    </row>
    <row r="802" spans="1:4" x14ac:dyDescent="0.25">
      <c r="A802" t="str">
        <f>T("   AM")</f>
        <v xml:space="preserve">   AM</v>
      </c>
      <c r="B802" t="str">
        <f>T("   Arménie")</f>
        <v xml:space="preserve">   Arménie</v>
      </c>
      <c r="C802">
        <v>700000</v>
      </c>
      <c r="D802">
        <v>500</v>
      </c>
    </row>
    <row r="803" spans="1:4" x14ac:dyDescent="0.25">
      <c r="A803" t="str">
        <f>T("   BD")</f>
        <v xml:space="preserve">   BD</v>
      </c>
      <c r="B803" t="str">
        <f>T("   Bangladesh")</f>
        <v xml:space="preserve">   Bangladesh</v>
      </c>
      <c r="C803">
        <v>450000</v>
      </c>
      <c r="D803">
        <v>500</v>
      </c>
    </row>
    <row r="804" spans="1:4" x14ac:dyDescent="0.25">
      <c r="A804" t="str">
        <f>T("   BE")</f>
        <v xml:space="preserve">   BE</v>
      </c>
      <c r="B804" t="str">
        <f>T("   Belgique")</f>
        <v xml:space="preserve">   Belgique</v>
      </c>
      <c r="C804">
        <v>1550000</v>
      </c>
      <c r="D804">
        <v>1650</v>
      </c>
    </row>
    <row r="805" spans="1:4" x14ac:dyDescent="0.25">
      <c r="A805" t="str">
        <f>T("   BI")</f>
        <v xml:space="preserve">   BI</v>
      </c>
      <c r="B805" t="str">
        <f>T("   Burundi")</f>
        <v xml:space="preserve">   Burundi</v>
      </c>
      <c r="C805">
        <v>500000</v>
      </c>
      <c r="D805">
        <v>650</v>
      </c>
    </row>
    <row r="806" spans="1:4" x14ac:dyDescent="0.25">
      <c r="A806" t="str">
        <f>T("   CD")</f>
        <v xml:space="preserve">   CD</v>
      </c>
      <c r="B806" t="str">
        <f>T("   Congo, République Démocratique")</f>
        <v xml:space="preserve">   Congo, République Démocratique</v>
      </c>
      <c r="C806">
        <v>600000</v>
      </c>
      <c r="D806">
        <v>400</v>
      </c>
    </row>
    <row r="807" spans="1:4" x14ac:dyDescent="0.25">
      <c r="A807" t="str">
        <f>T("   CG")</f>
        <v xml:space="preserve">   CG</v>
      </c>
      <c r="B807" t="str">
        <f>T("   Congo (Brazzaville)")</f>
        <v xml:space="preserve">   Congo (Brazzaville)</v>
      </c>
      <c r="C807">
        <v>500000</v>
      </c>
      <c r="D807">
        <v>1000</v>
      </c>
    </row>
    <row r="808" spans="1:4" x14ac:dyDescent="0.25">
      <c r="A808" t="str">
        <f>T("   CI")</f>
        <v xml:space="preserve">   CI</v>
      </c>
      <c r="B808" t="str">
        <f>T("   Côte d'Ivoire")</f>
        <v xml:space="preserve">   Côte d'Ivoire</v>
      </c>
      <c r="C808">
        <v>3300000</v>
      </c>
      <c r="D808">
        <v>3578</v>
      </c>
    </row>
    <row r="809" spans="1:4" x14ac:dyDescent="0.25">
      <c r="A809" t="str">
        <f>T("   CM")</f>
        <v xml:space="preserve">   CM</v>
      </c>
      <c r="B809" t="str">
        <f>T("   Cameroun")</f>
        <v xml:space="preserve">   Cameroun</v>
      </c>
      <c r="C809">
        <v>600000</v>
      </c>
      <c r="D809">
        <v>400</v>
      </c>
    </row>
    <row r="810" spans="1:4" x14ac:dyDescent="0.25">
      <c r="A810" t="str">
        <f>T("   CO")</f>
        <v xml:space="preserve">   CO</v>
      </c>
      <c r="B810" t="str">
        <f>T("   Colombie")</f>
        <v xml:space="preserve">   Colombie</v>
      </c>
      <c r="C810">
        <v>6000000</v>
      </c>
      <c r="D810">
        <v>10000</v>
      </c>
    </row>
    <row r="811" spans="1:4" x14ac:dyDescent="0.25">
      <c r="A811" t="str">
        <f>T("   DE")</f>
        <v xml:space="preserve">   DE</v>
      </c>
      <c r="B811" t="str">
        <f>T("   Allemagne")</f>
        <v xml:space="preserve">   Allemagne</v>
      </c>
      <c r="C811">
        <v>900000</v>
      </c>
      <c r="D811">
        <v>600</v>
      </c>
    </row>
    <row r="812" spans="1:4" x14ac:dyDescent="0.25">
      <c r="A812" t="str">
        <f>T("   DK")</f>
        <v xml:space="preserve">   DK</v>
      </c>
      <c r="B812" t="str">
        <f>T("   Danemark")</f>
        <v xml:space="preserve">   Danemark</v>
      </c>
      <c r="C812">
        <v>900000</v>
      </c>
      <c r="D812">
        <v>1100</v>
      </c>
    </row>
    <row r="813" spans="1:4" x14ac:dyDescent="0.25">
      <c r="A813" t="str">
        <f>T("   EG")</f>
        <v xml:space="preserve">   EG</v>
      </c>
      <c r="B813" t="str">
        <f>T("   Egypte")</f>
        <v xml:space="preserve">   Egypte</v>
      </c>
      <c r="C813">
        <v>700000</v>
      </c>
      <c r="D813">
        <v>500</v>
      </c>
    </row>
    <row r="814" spans="1:4" x14ac:dyDescent="0.25">
      <c r="A814" t="str">
        <f>T("   FR")</f>
        <v xml:space="preserve">   FR</v>
      </c>
      <c r="B814" t="str">
        <f>T("   France")</f>
        <v xml:space="preserve">   France</v>
      </c>
      <c r="C814">
        <v>7550000</v>
      </c>
      <c r="D814">
        <v>8925</v>
      </c>
    </row>
    <row r="815" spans="1:4" x14ac:dyDescent="0.25">
      <c r="A815" t="str">
        <f>T("   GA")</f>
        <v xml:space="preserve">   GA</v>
      </c>
      <c r="B815" t="str">
        <f>T("   Gabon")</f>
        <v xml:space="preserve">   Gabon</v>
      </c>
      <c r="C815">
        <v>800000</v>
      </c>
      <c r="D815">
        <v>800</v>
      </c>
    </row>
    <row r="816" spans="1:4" x14ac:dyDescent="0.25">
      <c r="A816" t="str">
        <f>T("   HT")</f>
        <v xml:space="preserve">   HT</v>
      </c>
      <c r="B816" t="str">
        <f>T("   Haïti")</f>
        <v xml:space="preserve">   Haïti</v>
      </c>
      <c r="C816">
        <v>500000</v>
      </c>
      <c r="D816">
        <v>300</v>
      </c>
    </row>
    <row r="817" spans="1:4" x14ac:dyDescent="0.25">
      <c r="A817" t="str">
        <f>T("   ID")</f>
        <v xml:space="preserve">   ID</v>
      </c>
      <c r="B817" t="str">
        <f>T("   Indonésie")</f>
        <v xml:space="preserve">   Indonésie</v>
      </c>
      <c r="C817">
        <v>400000</v>
      </c>
      <c r="D817">
        <v>500</v>
      </c>
    </row>
    <row r="818" spans="1:4" x14ac:dyDescent="0.25">
      <c r="A818" t="str">
        <f>T("   KE")</f>
        <v xml:space="preserve">   KE</v>
      </c>
      <c r="B818" t="str">
        <f>T("   Kenya")</f>
        <v xml:space="preserve">   Kenya</v>
      </c>
      <c r="C818">
        <v>1900000</v>
      </c>
      <c r="D818">
        <v>2050</v>
      </c>
    </row>
    <row r="819" spans="1:4" x14ac:dyDescent="0.25">
      <c r="A819" t="str">
        <f>T("   KH")</f>
        <v xml:space="preserve">   KH</v>
      </c>
      <c r="B819" t="str">
        <f>T("   Cambodge")</f>
        <v xml:space="preserve">   Cambodge</v>
      </c>
      <c r="C819">
        <v>500000</v>
      </c>
      <c r="D819">
        <v>650</v>
      </c>
    </row>
    <row r="820" spans="1:4" x14ac:dyDescent="0.25">
      <c r="A820" t="str">
        <f>T("   MG")</f>
        <v xml:space="preserve">   MG</v>
      </c>
      <c r="B820" t="str">
        <f>T("   Madagascar")</f>
        <v xml:space="preserve">   Madagascar</v>
      </c>
      <c r="C820">
        <v>500000</v>
      </c>
      <c r="D820">
        <v>300</v>
      </c>
    </row>
    <row r="821" spans="1:4" x14ac:dyDescent="0.25">
      <c r="A821" t="str">
        <f>T("   NE")</f>
        <v xml:space="preserve">   NE</v>
      </c>
      <c r="B821" t="str">
        <f>T("   Niger")</f>
        <v xml:space="preserve">   Niger</v>
      </c>
      <c r="C821">
        <v>450000</v>
      </c>
      <c r="D821">
        <v>400</v>
      </c>
    </row>
    <row r="822" spans="1:4" x14ac:dyDescent="0.25">
      <c r="A822" t="str">
        <f>T("   NL")</f>
        <v xml:space="preserve">   NL</v>
      </c>
      <c r="B822" t="str">
        <f>T("   Pays-bas")</f>
        <v xml:space="preserve">   Pays-bas</v>
      </c>
      <c r="C822">
        <v>1050000</v>
      </c>
      <c r="D822">
        <v>1600</v>
      </c>
    </row>
    <row r="823" spans="1:4" x14ac:dyDescent="0.25">
      <c r="A823" t="str">
        <f>T("   SN")</f>
        <v xml:space="preserve">   SN</v>
      </c>
      <c r="B823" t="str">
        <f>T("   Sénégal")</f>
        <v xml:space="preserve">   Sénégal</v>
      </c>
      <c r="C823">
        <v>3350000</v>
      </c>
      <c r="D823">
        <v>2750</v>
      </c>
    </row>
    <row r="824" spans="1:4" x14ac:dyDescent="0.25">
      <c r="A824" t="str">
        <f>T("   TG")</f>
        <v xml:space="preserve">   TG</v>
      </c>
      <c r="B824" t="str">
        <f>T("   Togo")</f>
        <v xml:space="preserve">   Togo</v>
      </c>
      <c r="C824">
        <v>1000000</v>
      </c>
      <c r="D824">
        <v>1300</v>
      </c>
    </row>
    <row r="825" spans="1:4" x14ac:dyDescent="0.25">
      <c r="A825" t="str">
        <f>T("   TN")</f>
        <v xml:space="preserve">   TN</v>
      </c>
      <c r="B825" t="str">
        <f>T("   Tunisie")</f>
        <v xml:space="preserve">   Tunisie</v>
      </c>
      <c r="C825">
        <v>750000</v>
      </c>
      <c r="D825">
        <v>900</v>
      </c>
    </row>
    <row r="826" spans="1:4" x14ac:dyDescent="0.25">
      <c r="A826" t="str">
        <f>T("   UG")</f>
        <v xml:space="preserve">   UG</v>
      </c>
      <c r="B826" t="str">
        <f>T("   Ouganda")</f>
        <v xml:space="preserve">   Ouganda</v>
      </c>
      <c r="C826">
        <v>339000</v>
      </c>
      <c r="D826">
        <v>2000</v>
      </c>
    </row>
    <row r="827" spans="1:4" x14ac:dyDescent="0.25">
      <c r="A827" t="str">
        <f>T("   US")</f>
        <v xml:space="preserve">   US</v>
      </c>
      <c r="B827" t="str">
        <f>T("   Etats-Unis")</f>
        <v xml:space="preserve">   Etats-Unis</v>
      </c>
      <c r="C827">
        <v>500000</v>
      </c>
      <c r="D827">
        <v>800</v>
      </c>
    </row>
    <row r="828" spans="1:4" x14ac:dyDescent="0.25">
      <c r="A828" t="str">
        <f>T("   ZA")</f>
        <v xml:space="preserve">   ZA</v>
      </c>
      <c r="B828" t="str">
        <f>T("   Afrique du Sud")</f>
        <v xml:space="preserve">   Afrique du Sud</v>
      </c>
      <c r="C828">
        <v>3400000</v>
      </c>
      <c r="D828">
        <v>4700</v>
      </c>
    </row>
    <row r="829" spans="1:4" x14ac:dyDescent="0.25">
      <c r="A829" t="str">
        <f>T("621030")</f>
        <v>621030</v>
      </c>
      <c r="B829" t="str">
        <f>T("Vêtements des types du n° 6202.11 à 6202.19 [manteaux, cabans, capes et articles simil.], caoutchoutés ou imprégnés, enduits ou recouverts de matière plastique ou d'autres substances")</f>
        <v>Vêtements des types du n° 6202.11 à 6202.19 [manteaux, cabans, capes et articles simil.], caoutchoutés ou imprégnés, enduits ou recouverts de matière plastique ou d'autres substances</v>
      </c>
    </row>
    <row r="830" spans="1:4" x14ac:dyDescent="0.25">
      <c r="A830" t="str">
        <f>T("   ZZZ_Monde")</f>
        <v xml:space="preserve">   ZZZ_Monde</v>
      </c>
      <c r="B830" t="str">
        <f>T("   ZZZ_Monde")</f>
        <v xml:space="preserve">   ZZZ_Monde</v>
      </c>
      <c r="C830">
        <v>2200000</v>
      </c>
      <c r="D830">
        <v>700</v>
      </c>
    </row>
    <row r="831" spans="1:4" x14ac:dyDescent="0.25">
      <c r="A831" t="str">
        <f>T("   SN")</f>
        <v xml:space="preserve">   SN</v>
      </c>
      <c r="B831" t="str">
        <f>T("   Sénégal")</f>
        <v xml:space="preserve">   Sénégal</v>
      </c>
      <c r="C831">
        <v>2200000</v>
      </c>
      <c r="D831">
        <v>700</v>
      </c>
    </row>
    <row r="832" spans="1:4" x14ac:dyDescent="0.25">
      <c r="A832" t="str">
        <f>T("621040")</f>
        <v>621040</v>
      </c>
      <c r="B832" t="str">
        <f>T("Vêtements de tissus, autres qu'en bonneterie, caoutchoutés ou imprégnés, enduits ou recouverts de matière plastique ou d'autres substances, pour hommes ou garçonnets (autres que vêtements des types du n° 6201.11 à 6201.19 [manteaux, cabans, capes et artic")</f>
        <v>Vêtements de tissus, autres qu'en bonneterie, caoutchoutés ou imprégnés, enduits ou recouverts de matière plastique ou d'autres substances, pour hommes ou garçonnets (autres que vêtements des types du n° 6201.11 à 6201.19 [manteaux, cabans, capes et artic</v>
      </c>
    </row>
    <row r="833" spans="1:4" x14ac:dyDescent="0.25">
      <c r="A833" t="str">
        <f>T("   ZZZ_Monde")</f>
        <v xml:space="preserve">   ZZZ_Monde</v>
      </c>
      <c r="B833" t="str">
        <f>T("   ZZZ_Monde")</f>
        <v xml:space="preserve">   ZZZ_Monde</v>
      </c>
      <c r="C833">
        <v>20020040</v>
      </c>
      <c r="D833">
        <v>7622.6</v>
      </c>
    </row>
    <row r="834" spans="1:4" x14ac:dyDescent="0.25">
      <c r="A834" t="str">
        <f>T("   BE")</f>
        <v xml:space="preserve">   BE</v>
      </c>
      <c r="B834" t="str">
        <f>T("   Belgique")</f>
        <v xml:space="preserve">   Belgique</v>
      </c>
      <c r="C834">
        <v>500000</v>
      </c>
      <c r="D834">
        <v>474</v>
      </c>
    </row>
    <row r="835" spans="1:4" x14ac:dyDescent="0.25">
      <c r="A835" t="str">
        <f>T("   DE")</f>
        <v xml:space="preserve">   DE</v>
      </c>
      <c r="B835" t="str">
        <f>T("   Allemagne")</f>
        <v xml:space="preserve">   Allemagne</v>
      </c>
      <c r="C835">
        <v>800000</v>
      </c>
      <c r="D835">
        <v>600</v>
      </c>
    </row>
    <row r="836" spans="1:4" x14ac:dyDescent="0.25">
      <c r="A836" t="str">
        <f>T("   FR")</f>
        <v xml:space="preserve">   FR</v>
      </c>
      <c r="B836" t="str">
        <f>T("   France")</f>
        <v xml:space="preserve">   France</v>
      </c>
      <c r="C836">
        <v>7582880</v>
      </c>
      <c r="D836">
        <v>3059.6</v>
      </c>
    </row>
    <row r="837" spans="1:4" x14ac:dyDescent="0.25">
      <c r="A837" t="str">
        <f>T("   US")</f>
        <v xml:space="preserve">   US</v>
      </c>
      <c r="B837" t="str">
        <f>T("   Etats-Unis")</f>
        <v xml:space="preserve">   Etats-Unis</v>
      </c>
      <c r="C837">
        <v>1000000</v>
      </c>
      <c r="D837">
        <v>889</v>
      </c>
    </row>
    <row r="838" spans="1:4" x14ac:dyDescent="0.25">
      <c r="A838" t="str">
        <f>T("   ZM")</f>
        <v xml:space="preserve">   ZM</v>
      </c>
      <c r="B838" t="str">
        <f>T("   Zambie")</f>
        <v xml:space="preserve">   Zambie</v>
      </c>
      <c r="C838">
        <v>10137160</v>
      </c>
      <c r="D838">
        <v>2600</v>
      </c>
    </row>
    <row r="839" spans="1:4" x14ac:dyDescent="0.25">
      <c r="A839" t="str">
        <f>T("621050")</f>
        <v>621050</v>
      </c>
      <c r="B839" t="str">
        <f>T("Vêtements de tissus, autres qu'en bonneterie, caoutchoutés ou imprégnés, enduits ou recouverts de matière plastique ou d'autres substances, pour femmes ou fillettes (autres que vêtements des types du n° 6202.11 à 6202.19 [manteaux, cabans, capes et articl")</f>
        <v>Vêtements de tissus, autres qu'en bonneterie, caoutchoutés ou imprégnés, enduits ou recouverts de matière plastique ou d'autres substances, pour femmes ou fillettes (autres que vêtements des types du n° 6202.11 à 6202.19 [manteaux, cabans, capes et articl</v>
      </c>
    </row>
    <row r="840" spans="1:4" x14ac:dyDescent="0.25">
      <c r="A840" t="str">
        <f>T("   ZZZ_Monde")</f>
        <v xml:space="preserve">   ZZZ_Monde</v>
      </c>
      <c r="B840" t="str">
        <f>T("   ZZZ_Monde")</f>
        <v xml:space="preserve">   ZZZ_Monde</v>
      </c>
      <c r="C840">
        <v>8550000</v>
      </c>
      <c r="D840">
        <v>7021</v>
      </c>
    </row>
    <row r="841" spans="1:4" x14ac:dyDescent="0.25">
      <c r="A841" t="str">
        <f>T("   BE")</f>
        <v xml:space="preserve">   BE</v>
      </c>
      <c r="B841" t="str">
        <f>T("   Belgique")</f>
        <v xml:space="preserve">   Belgique</v>
      </c>
      <c r="C841">
        <v>5050000</v>
      </c>
      <c r="D841">
        <v>4951</v>
      </c>
    </row>
    <row r="842" spans="1:4" x14ac:dyDescent="0.25">
      <c r="A842" t="str">
        <f>T("   SN")</f>
        <v xml:space="preserve">   SN</v>
      </c>
      <c r="B842" t="str">
        <f>T("   Sénégal")</f>
        <v xml:space="preserve">   Sénégal</v>
      </c>
      <c r="C842">
        <v>1500000</v>
      </c>
      <c r="D842">
        <v>1070</v>
      </c>
    </row>
    <row r="843" spans="1:4" x14ac:dyDescent="0.25">
      <c r="A843" t="str">
        <f>T("   US")</f>
        <v xml:space="preserve">   US</v>
      </c>
      <c r="B843" t="str">
        <f>T("   Etats-Unis")</f>
        <v xml:space="preserve">   Etats-Unis</v>
      </c>
      <c r="C843">
        <v>2000000</v>
      </c>
      <c r="D843">
        <v>1000</v>
      </c>
    </row>
    <row r="844" spans="1:4" x14ac:dyDescent="0.25">
      <c r="A844" t="str">
        <f>T("630190")</f>
        <v>630190</v>
      </c>
      <c r="B844" t="str">
        <f>T("Couvertures de matières textiles (autres que de laine ou poils fins, coton ou fibres synthétiques et que chauffantes électriques et sauf linge de table, couvre-lits, linge de lit et les articles simil. du n° 9404 [sommiers et autres articles de literie])")</f>
        <v>Couvertures de matières textiles (autres que de laine ou poils fins, coton ou fibres synthétiques et que chauffantes électriques et sauf linge de table, couvre-lits, linge de lit et les articles simil. du n° 9404 [sommiers et autres articles de literie])</v>
      </c>
    </row>
    <row r="845" spans="1:4" x14ac:dyDescent="0.25">
      <c r="A845" t="str">
        <f>T("   ZZZ_Monde")</f>
        <v xml:space="preserve">   ZZZ_Monde</v>
      </c>
      <c r="B845" t="str">
        <f>T("   ZZZ_Monde")</f>
        <v xml:space="preserve">   ZZZ_Monde</v>
      </c>
      <c r="C845">
        <v>10345455</v>
      </c>
      <c r="D845">
        <v>24864</v>
      </c>
    </row>
    <row r="846" spans="1:4" x14ac:dyDescent="0.25">
      <c r="A846" t="str">
        <f>T("   BF")</f>
        <v xml:space="preserve">   BF</v>
      </c>
      <c r="B846" t="str">
        <f>T("   Burkina Faso")</f>
        <v xml:space="preserve">   Burkina Faso</v>
      </c>
      <c r="C846">
        <v>10345455</v>
      </c>
      <c r="D846">
        <v>24864</v>
      </c>
    </row>
    <row r="847" spans="1:4" x14ac:dyDescent="0.25">
      <c r="A847" t="str">
        <f>T("630419")</f>
        <v>630419</v>
      </c>
      <c r="B847" t="str">
        <f>T("Couvre-lits en tous types de matières textiles (autres qu'en bonneterie et sauf linge de lit, couvre-pieds et édredons)")</f>
        <v>Couvre-lits en tous types de matières textiles (autres qu'en bonneterie et sauf linge de lit, couvre-pieds et édredons)</v>
      </c>
    </row>
    <row r="848" spans="1:4" x14ac:dyDescent="0.25">
      <c r="A848" t="str">
        <f>T("   ZZZ_Monde")</f>
        <v xml:space="preserve">   ZZZ_Monde</v>
      </c>
      <c r="B848" t="str">
        <f>T("   ZZZ_Monde")</f>
        <v xml:space="preserve">   ZZZ_Monde</v>
      </c>
      <c r="C848">
        <v>4930851</v>
      </c>
      <c r="D848">
        <v>23688</v>
      </c>
    </row>
    <row r="849" spans="1:4" x14ac:dyDescent="0.25">
      <c r="A849" t="str">
        <f>T("   BF")</f>
        <v xml:space="preserve">   BF</v>
      </c>
      <c r="B849" t="str">
        <f>T("   Burkina Faso")</f>
        <v xml:space="preserve">   Burkina Faso</v>
      </c>
      <c r="C849">
        <v>4930851</v>
      </c>
      <c r="D849">
        <v>23688</v>
      </c>
    </row>
    <row r="850" spans="1:4" x14ac:dyDescent="0.25">
      <c r="A850" t="str">
        <f>T("630491")</f>
        <v>630491</v>
      </c>
      <c r="B850" t="str">
        <f>T("Articles d'ameublement en bonneterie (sauf couvertures, linge de lit, linge de table, linge de toilette et de cuisine, vitrages, rideaux, stores d'intérieur, cantonnières et tours de lit, couvre-lits, abat-jour et les articles du n° 9404 [sommiers et arti")</f>
        <v>Articles d'ameublement en bonneterie (sauf couvertures, linge de lit, linge de table, linge de toilette et de cuisine, vitrages, rideaux, stores d'intérieur, cantonnières et tours de lit, couvre-lits, abat-jour et les articles du n° 9404 [sommiers et arti</v>
      </c>
    </row>
    <row r="851" spans="1:4" x14ac:dyDescent="0.25">
      <c r="A851" t="str">
        <f>T("   ZZZ_Monde")</f>
        <v xml:space="preserve">   ZZZ_Monde</v>
      </c>
      <c r="B851" t="str">
        <f>T("   ZZZ_Monde")</f>
        <v xml:space="preserve">   ZZZ_Monde</v>
      </c>
      <c r="C851">
        <v>7000916</v>
      </c>
      <c r="D851">
        <v>2261</v>
      </c>
    </row>
    <row r="852" spans="1:4" x14ac:dyDescent="0.25">
      <c r="A852" t="str">
        <f>T("   ZA")</f>
        <v xml:space="preserve">   ZA</v>
      </c>
      <c r="B852" t="str">
        <f>T("   Afrique du Sud")</f>
        <v xml:space="preserve">   Afrique du Sud</v>
      </c>
      <c r="C852">
        <v>7000916</v>
      </c>
      <c r="D852">
        <v>2261</v>
      </c>
    </row>
    <row r="853" spans="1:4" x14ac:dyDescent="0.25">
      <c r="A853" t="str">
        <f>T("630510")</f>
        <v>630510</v>
      </c>
      <c r="B853" t="str">
        <f>T("Sacs et sachets d'emballage de jute ou d'autres fibres textiles libériennes du n° 5303")</f>
        <v>Sacs et sachets d'emballage de jute ou d'autres fibres textiles libériennes du n° 5303</v>
      </c>
    </row>
    <row r="854" spans="1:4" x14ac:dyDescent="0.25">
      <c r="A854" t="str">
        <f>T("   ZZZ_Monde")</f>
        <v xml:space="preserve">   ZZZ_Monde</v>
      </c>
      <c r="B854" t="str">
        <f>T("   ZZZ_Monde")</f>
        <v xml:space="preserve">   ZZZ_Monde</v>
      </c>
      <c r="C854">
        <v>24856786</v>
      </c>
      <c r="D854">
        <v>63538</v>
      </c>
    </row>
    <row r="855" spans="1:4" x14ac:dyDescent="0.25">
      <c r="A855" t="str">
        <f>T("   IN")</f>
        <v xml:space="preserve">   IN</v>
      </c>
      <c r="B855" t="str">
        <f>T("   Inde")</f>
        <v xml:space="preserve">   Inde</v>
      </c>
      <c r="C855">
        <v>24856786</v>
      </c>
      <c r="D855">
        <v>63538</v>
      </c>
    </row>
    <row r="856" spans="1:4" x14ac:dyDescent="0.25">
      <c r="A856" t="str">
        <f>T("630533")</f>
        <v>630533</v>
      </c>
      <c r="B856" t="str">
        <f>T("Sacs et sachets d'emballage obtenus à partir de lames ou formes simil., de polyéthylène ou polypropylène (à l'excl. des contenants souples pour matières en vrac)")</f>
        <v>Sacs et sachets d'emballage obtenus à partir de lames ou formes simil., de polyéthylène ou polypropylène (à l'excl. des contenants souples pour matières en vrac)</v>
      </c>
    </row>
    <row r="857" spans="1:4" x14ac:dyDescent="0.25">
      <c r="A857" t="str">
        <f>T("   ZZZ_Monde")</f>
        <v xml:space="preserve">   ZZZ_Monde</v>
      </c>
      <c r="B857" t="str">
        <f>T("   ZZZ_Monde")</f>
        <v xml:space="preserve">   ZZZ_Monde</v>
      </c>
      <c r="C857">
        <v>7470000</v>
      </c>
      <c r="D857">
        <v>40959</v>
      </c>
    </row>
    <row r="858" spans="1:4" x14ac:dyDescent="0.25">
      <c r="A858" t="str">
        <f>T("   IN")</f>
        <v xml:space="preserve">   IN</v>
      </c>
      <c r="B858" t="str">
        <f>T("   Inde")</f>
        <v xml:space="preserve">   Inde</v>
      </c>
      <c r="C858">
        <v>7470000</v>
      </c>
      <c r="D858">
        <v>40959</v>
      </c>
    </row>
    <row r="859" spans="1:4" x14ac:dyDescent="0.25">
      <c r="A859" t="str">
        <f>T("630590")</f>
        <v>630590</v>
      </c>
      <c r="B859" t="str">
        <f>T("Sacs et sachets d'emballage de matières textiles (autres qu'en matières textiles synthétiques ou artificielles, coton, jute ou autres fibres textiles libérienne du n° 5303)")</f>
        <v>Sacs et sachets d'emballage de matières textiles (autres qu'en matières textiles synthétiques ou artificielles, coton, jute ou autres fibres textiles libérienne du n° 5303)</v>
      </c>
    </row>
    <row r="860" spans="1:4" x14ac:dyDescent="0.25">
      <c r="A860" t="str">
        <f>T("   ZZZ_Monde")</f>
        <v xml:space="preserve">   ZZZ_Monde</v>
      </c>
      <c r="B860" t="str">
        <f>T("   ZZZ_Monde")</f>
        <v xml:space="preserve">   ZZZ_Monde</v>
      </c>
      <c r="C860">
        <v>1034529</v>
      </c>
      <c r="D860">
        <v>4380</v>
      </c>
    </row>
    <row r="861" spans="1:4" x14ac:dyDescent="0.25">
      <c r="A861" t="str">
        <f>T("   MA")</f>
        <v xml:space="preserve">   MA</v>
      </c>
      <c r="B861" t="str">
        <f>T("   Maroc")</f>
        <v xml:space="preserve">   Maroc</v>
      </c>
      <c r="C861">
        <v>1034529</v>
      </c>
      <c r="D861">
        <v>4380</v>
      </c>
    </row>
    <row r="862" spans="1:4" x14ac:dyDescent="0.25">
      <c r="A862" t="str">
        <f>T("630629")</f>
        <v>630629</v>
      </c>
      <c r="B862" t="str">
        <f>T("Tentes de matières textiles (autres que de coton ou fibres synthétiques et sauf paravents)")</f>
        <v>Tentes de matières textiles (autres que de coton ou fibres synthétiques et sauf paravents)</v>
      </c>
    </row>
    <row r="863" spans="1:4" x14ac:dyDescent="0.25">
      <c r="A863" t="str">
        <f>T("   ZZZ_Monde")</f>
        <v xml:space="preserve">   ZZZ_Monde</v>
      </c>
      <c r="B863" t="str">
        <f>T("   ZZZ_Monde")</f>
        <v xml:space="preserve">   ZZZ_Monde</v>
      </c>
      <c r="C863">
        <v>6840022</v>
      </c>
      <c r="D863">
        <v>12000</v>
      </c>
    </row>
    <row r="864" spans="1:4" x14ac:dyDescent="0.25">
      <c r="A864" t="str">
        <f>T("   NL")</f>
        <v xml:space="preserve">   NL</v>
      </c>
      <c r="B864" t="str">
        <f>T("   Pays-bas")</f>
        <v xml:space="preserve">   Pays-bas</v>
      </c>
      <c r="C864">
        <v>6840022</v>
      </c>
      <c r="D864">
        <v>12000</v>
      </c>
    </row>
    <row r="865" spans="1:4" x14ac:dyDescent="0.25">
      <c r="A865" t="str">
        <f>T("630649")</f>
        <v>630649</v>
      </c>
      <c r="B865" t="str">
        <f>T("Matelas pneumatiques de matières textiles (autres que de coton)")</f>
        <v>Matelas pneumatiques de matières textiles (autres que de coton)</v>
      </c>
    </row>
    <row r="866" spans="1:4" x14ac:dyDescent="0.25">
      <c r="A866" t="str">
        <f>T("   ZZZ_Monde")</f>
        <v xml:space="preserve">   ZZZ_Monde</v>
      </c>
      <c r="B866" t="str">
        <f>T("   ZZZ_Monde")</f>
        <v xml:space="preserve">   ZZZ_Monde</v>
      </c>
      <c r="C866">
        <v>665000</v>
      </c>
      <c r="D866">
        <v>835</v>
      </c>
    </row>
    <row r="867" spans="1:4" x14ac:dyDescent="0.25">
      <c r="A867" t="str">
        <f>T("   TG")</f>
        <v xml:space="preserve">   TG</v>
      </c>
      <c r="B867" t="str">
        <f>T("   Togo")</f>
        <v xml:space="preserve">   Togo</v>
      </c>
      <c r="C867">
        <v>665000</v>
      </c>
      <c r="D867">
        <v>835</v>
      </c>
    </row>
    <row r="868" spans="1:4" x14ac:dyDescent="0.25">
      <c r="A868" t="str">
        <f>T("630900")</f>
        <v>630900</v>
      </c>
      <c r="B868" t="str">
        <f>T("Articles de friperie composés de vêtements, accessoires du vêtement, couvertures, linge de maison et articles d'aménagement intérieur, en tous types de matières textiles, y.c. les chaussures et coiffures de tous genres, manifestement usagés et présentés e")</f>
        <v>Articles de friperie composés de vêtements, accessoires du vêtement, couvertures, linge de maison et articles d'aménagement intérieur, en tous types de matières textiles, y.c. les chaussures et coiffures de tous genres, manifestement usagés et présentés e</v>
      </c>
    </row>
    <row r="869" spans="1:4" x14ac:dyDescent="0.25">
      <c r="A869" t="str">
        <f>T("   ZZZ_Monde")</f>
        <v xml:space="preserve">   ZZZ_Monde</v>
      </c>
      <c r="B869" t="str">
        <f>T("   ZZZ_Monde")</f>
        <v xml:space="preserve">   ZZZ_Monde</v>
      </c>
      <c r="C869">
        <v>68011000</v>
      </c>
      <c r="D869">
        <v>135516.70000000001</v>
      </c>
    </row>
    <row r="870" spans="1:4" x14ac:dyDescent="0.25">
      <c r="A870" t="str">
        <f>T("   BF")</f>
        <v xml:space="preserve">   BF</v>
      </c>
      <c r="B870" t="str">
        <f>T("   Burkina Faso")</f>
        <v xml:space="preserve">   Burkina Faso</v>
      </c>
      <c r="C870">
        <v>750000</v>
      </c>
      <c r="D870">
        <v>144</v>
      </c>
    </row>
    <row r="871" spans="1:4" x14ac:dyDescent="0.25">
      <c r="A871" t="str">
        <f>T("   CI")</f>
        <v xml:space="preserve">   CI</v>
      </c>
      <c r="B871" t="str">
        <f>T("   Côte d'Ivoire")</f>
        <v xml:space="preserve">   Côte d'Ivoire</v>
      </c>
      <c r="C871">
        <v>12100000</v>
      </c>
      <c r="D871">
        <v>19000</v>
      </c>
    </row>
    <row r="872" spans="1:4" x14ac:dyDescent="0.25">
      <c r="A872" t="str">
        <f>T("   FR")</f>
        <v xml:space="preserve">   FR</v>
      </c>
      <c r="B872" t="str">
        <f>T("   France")</f>
        <v xml:space="preserve">   France</v>
      </c>
      <c r="C872">
        <v>1000000</v>
      </c>
      <c r="D872">
        <v>1524.7</v>
      </c>
    </row>
    <row r="873" spans="1:4" x14ac:dyDescent="0.25">
      <c r="A873" t="str">
        <f>T("   GA")</f>
        <v xml:space="preserve">   GA</v>
      </c>
      <c r="B873" t="str">
        <f>T("   Gabon")</f>
        <v xml:space="preserve">   Gabon</v>
      </c>
      <c r="C873">
        <v>3761000</v>
      </c>
      <c r="D873">
        <v>5830</v>
      </c>
    </row>
    <row r="874" spans="1:4" x14ac:dyDescent="0.25">
      <c r="A874" t="str">
        <f>T("   GN")</f>
        <v xml:space="preserve">   GN</v>
      </c>
      <c r="B874" t="str">
        <f>T("   Guinée")</f>
        <v xml:space="preserve">   Guinée</v>
      </c>
      <c r="C874">
        <v>30000000</v>
      </c>
      <c r="D874">
        <v>54000</v>
      </c>
    </row>
    <row r="875" spans="1:4" x14ac:dyDescent="0.25">
      <c r="A875" t="str">
        <f>T("   IN")</f>
        <v xml:space="preserve">   IN</v>
      </c>
      <c r="B875" t="str">
        <f>T("   Inde")</f>
        <v xml:space="preserve">   Inde</v>
      </c>
      <c r="C875">
        <v>1250000</v>
      </c>
      <c r="D875">
        <v>700</v>
      </c>
    </row>
    <row r="876" spans="1:4" x14ac:dyDescent="0.25">
      <c r="A876" t="str">
        <f>T("   ML")</f>
        <v xml:space="preserve">   ML</v>
      </c>
      <c r="B876" t="str">
        <f>T("   Mali")</f>
        <v xml:space="preserve">   Mali</v>
      </c>
      <c r="C876">
        <v>16000000</v>
      </c>
      <c r="D876">
        <v>53733</v>
      </c>
    </row>
    <row r="877" spans="1:4" x14ac:dyDescent="0.25">
      <c r="A877" t="str">
        <f>T("   NE")</f>
        <v xml:space="preserve">   NE</v>
      </c>
      <c r="B877" t="str">
        <f>T("   Niger")</f>
        <v xml:space="preserve">   Niger</v>
      </c>
      <c r="C877">
        <v>3150000</v>
      </c>
      <c r="D877">
        <v>585</v>
      </c>
    </row>
    <row r="878" spans="1:4" x14ac:dyDescent="0.25">
      <c r="A878" t="str">
        <f>T("640299")</f>
        <v>640299</v>
      </c>
      <c r="B878" t="str">
        <f>T("CHAUSSURES À SEMELLES EXTÉRIEURES ET DESSUS EN CAOUTCHOUC OU EN MATIÈRES PLASTIQUES (SAUF COUVRANT LA CHEVILLE OU À DESSUS EN LANIÈRES OU BRIDES FIXÉES À LA SEMELLE PAR DES TÉTONS AINSI QUE DES CHAUSSURES ÉTANCHES DU N° 6401, DES CHAUSSURES D'ORTHOPÉDIE E")</f>
        <v>CHAUSSURES À SEMELLES EXTÉRIEURES ET DESSUS EN CAOUTCHOUC OU EN MATIÈRES PLASTIQUES (SAUF COUVRANT LA CHEVILLE OU À DESSUS EN LANIÈRES OU BRIDES FIXÉES À LA SEMELLE PAR DES TÉTONS AINSI QUE DES CHAUSSURES ÉTANCHES DU N° 6401, DES CHAUSSURES D'ORTHOPÉDIE E</v>
      </c>
    </row>
    <row r="879" spans="1:4" x14ac:dyDescent="0.25">
      <c r="A879" t="str">
        <f>T("   ZZZ_Monde")</f>
        <v xml:space="preserve">   ZZZ_Monde</v>
      </c>
      <c r="B879" t="str">
        <f>T("   ZZZ_Monde")</f>
        <v xml:space="preserve">   ZZZ_Monde</v>
      </c>
      <c r="C879">
        <v>1807200</v>
      </c>
      <c r="D879">
        <v>900</v>
      </c>
    </row>
    <row r="880" spans="1:4" x14ac:dyDescent="0.25">
      <c r="A880" t="str">
        <f>T("   FR")</f>
        <v xml:space="preserve">   FR</v>
      </c>
      <c r="B880" t="str">
        <f>T("   France")</f>
        <v xml:space="preserve">   France</v>
      </c>
      <c r="C880">
        <v>1807200</v>
      </c>
      <c r="D880">
        <v>900</v>
      </c>
    </row>
    <row r="881" spans="1:4" x14ac:dyDescent="0.25">
      <c r="A881" t="str">
        <f>T("640319")</f>
        <v>640319</v>
      </c>
      <c r="B881" t="str">
        <f>T("Chaussures de sport à semelles extérieures en caoutchouc, matière plastique, cuir naturel ou reconstitué et dessus en cuir naturel (sauf chaussures de ski, chaussures pour le surf des neiges et chaussures auxquelles sont fixés des patins à glace ou à roul")</f>
        <v>Chaussures de sport à semelles extérieures en caoutchouc, matière plastique, cuir naturel ou reconstitué et dessus en cuir naturel (sauf chaussures de ski, chaussures pour le surf des neiges et chaussures auxquelles sont fixés des patins à glace ou à roul</v>
      </c>
    </row>
    <row r="882" spans="1:4" x14ac:dyDescent="0.25">
      <c r="A882" t="str">
        <f>T("   ZZZ_Monde")</f>
        <v xml:space="preserve">   ZZZ_Monde</v>
      </c>
      <c r="B882" t="str">
        <f>T("   ZZZ_Monde")</f>
        <v xml:space="preserve">   ZZZ_Monde</v>
      </c>
      <c r="C882">
        <v>8598000</v>
      </c>
      <c r="D882">
        <v>7650</v>
      </c>
    </row>
    <row r="883" spans="1:4" x14ac:dyDescent="0.25">
      <c r="A883" t="str">
        <f>T("   GA")</f>
        <v xml:space="preserve">   GA</v>
      </c>
      <c r="B883" t="str">
        <f>T("   Gabon")</f>
        <v xml:space="preserve">   Gabon</v>
      </c>
      <c r="C883">
        <v>8598000</v>
      </c>
      <c r="D883">
        <v>7650</v>
      </c>
    </row>
    <row r="884" spans="1:4" x14ac:dyDescent="0.25">
      <c r="A884" t="str">
        <f>T("640590")</f>
        <v>640590</v>
      </c>
      <c r="B884" t="str">
        <f>T("CHAUSSURES À SEMELLES EXTÉRIEURES EN CAOUTCHOUC OU EN MATIÈRE PLASTIQUE ET À DESSUS EN AUTRES MATIÈRES QUE CAOUTCHOUC, MATIÈRE PLASTIQUE, CUIR OU MATIÈRES TEXTILES; CHAUSSURES À SEMELLES EXTÉRIEURES EN CUIR NATUREL OU RECONSTITUÉ ET À DESSUS EN D'AUTRES M")</f>
        <v>CHAUSSURES À SEMELLES EXTÉRIEURES EN CAOUTCHOUC OU EN MATIÈRE PLASTIQUE ET À DESSUS EN AUTRES MATIÈRES QUE CAOUTCHOUC, MATIÈRE PLASTIQUE, CUIR OU MATIÈRES TEXTILES; CHAUSSURES À SEMELLES EXTÉRIEURES EN CUIR NATUREL OU RECONSTITUÉ ET À DESSUS EN D'AUTRES M</v>
      </c>
    </row>
    <row r="885" spans="1:4" x14ac:dyDescent="0.25">
      <c r="A885" t="str">
        <f>T("   ZZZ_Monde")</f>
        <v xml:space="preserve">   ZZZ_Monde</v>
      </c>
      <c r="B885" t="str">
        <f>T("   ZZZ_Monde")</f>
        <v xml:space="preserve">   ZZZ_Monde</v>
      </c>
      <c r="C885">
        <v>21825309</v>
      </c>
      <c r="D885">
        <v>32200</v>
      </c>
    </row>
    <row r="886" spans="1:4" x14ac:dyDescent="0.25">
      <c r="A886" t="str">
        <f>T("   CD")</f>
        <v xml:space="preserve">   CD</v>
      </c>
      <c r="B886" t="str">
        <f>T("   Congo, République Démocratique")</f>
        <v xml:space="preserve">   Congo, République Démocratique</v>
      </c>
      <c r="C886">
        <v>13125309</v>
      </c>
      <c r="D886">
        <v>10000</v>
      </c>
    </row>
    <row r="887" spans="1:4" x14ac:dyDescent="0.25">
      <c r="A887" t="str">
        <f>T("   CG")</f>
        <v xml:space="preserve">   CG</v>
      </c>
      <c r="B887" t="str">
        <f>T("   Congo (Brazzaville)")</f>
        <v xml:space="preserve">   Congo (Brazzaville)</v>
      </c>
      <c r="C887">
        <v>1000000</v>
      </c>
      <c r="D887">
        <v>10000</v>
      </c>
    </row>
    <row r="888" spans="1:4" x14ac:dyDescent="0.25">
      <c r="A888" t="str">
        <f>T("   GA")</f>
        <v xml:space="preserve">   GA</v>
      </c>
      <c r="B888" t="str">
        <f>T("   Gabon")</f>
        <v xml:space="preserve">   Gabon</v>
      </c>
      <c r="C888">
        <v>500000</v>
      </c>
      <c r="D888">
        <v>1200</v>
      </c>
    </row>
    <row r="889" spans="1:4" x14ac:dyDescent="0.25">
      <c r="A889" t="str">
        <f>T("   GB")</f>
        <v xml:space="preserve">   GB</v>
      </c>
      <c r="B889" t="str">
        <f>T("   Royaume-Uni")</f>
        <v xml:space="preserve">   Royaume-Uni</v>
      </c>
      <c r="C889">
        <v>6000000</v>
      </c>
      <c r="D889">
        <v>10000</v>
      </c>
    </row>
    <row r="890" spans="1:4" x14ac:dyDescent="0.25">
      <c r="A890" t="str">
        <f>T("   GN")</f>
        <v xml:space="preserve">   GN</v>
      </c>
      <c r="B890" t="str">
        <f>T("   Guinée")</f>
        <v xml:space="preserve">   Guinée</v>
      </c>
      <c r="C890">
        <v>1200000</v>
      </c>
      <c r="D890">
        <v>1000</v>
      </c>
    </row>
    <row r="891" spans="1:4" x14ac:dyDescent="0.25">
      <c r="A891" t="str">
        <f>T("650200")</f>
        <v>650200</v>
      </c>
      <c r="B891" t="str">
        <f>T("Cloches ou formes pour chapeaux, tressées ou fabriquées par l'assemblage de bandes en toutes matières (sauf dressées -mises en forme-, tournurées -mises en tournure-, ou garnies)")</f>
        <v>Cloches ou formes pour chapeaux, tressées ou fabriquées par l'assemblage de bandes en toutes matières (sauf dressées -mises en forme-, tournurées -mises en tournure-, ou garnies)</v>
      </c>
    </row>
    <row r="892" spans="1:4" x14ac:dyDescent="0.25">
      <c r="A892" t="str">
        <f>T("   ZZZ_Monde")</f>
        <v xml:space="preserve">   ZZZ_Monde</v>
      </c>
      <c r="B892" t="str">
        <f>T("   ZZZ_Monde")</f>
        <v xml:space="preserve">   ZZZ_Monde</v>
      </c>
      <c r="C892">
        <v>72000</v>
      </c>
      <c r="D892">
        <v>1270</v>
      </c>
    </row>
    <row r="893" spans="1:4" x14ac:dyDescent="0.25">
      <c r="A893" t="str">
        <f>T("   GA")</f>
        <v xml:space="preserve">   GA</v>
      </c>
      <c r="B893" t="str">
        <f>T("   Gabon")</f>
        <v xml:space="preserve">   Gabon</v>
      </c>
      <c r="C893">
        <v>72000</v>
      </c>
      <c r="D893">
        <v>1270</v>
      </c>
    </row>
    <row r="894" spans="1:4" x14ac:dyDescent="0.25">
      <c r="A894" t="str">
        <f>T("660110")</f>
        <v>660110</v>
      </c>
      <c r="B894" t="str">
        <f>T("Parasols de jardin et articles simil. (sauf tentes de plage)")</f>
        <v>Parasols de jardin et articles simil. (sauf tentes de plage)</v>
      </c>
    </row>
    <row r="895" spans="1:4" x14ac:dyDescent="0.25">
      <c r="A895" t="str">
        <f>T("   ZZZ_Monde")</f>
        <v xml:space="preserve">   ZZZ_Monde</v>
      </c>
      <c r="B895" t="str">
        <f>T("   ZZZ_Monde")</f>
        <v xml:space="preserve">   ZZZ_Monde</v>
      </c>
      <c r="C895">
        <v>21600000</v>
      </c>
      <c r="D895">
        <v>2600</v>
      </c>
    </row>
    <row r="896" spans="1:4" x14ac:dyDescent="0.25">
      <c r="A896" t="str">
        <f>T("   ML")</f>
        <v xml:space="preserve">   ML</v>
      </c>
      <c r="B896" t="str">
        <f>T("   Mali")</f>
        <v xml:space="preserve">   Mali</v>
      </c>
      <c r="C896">
        <v>21600000</v>
      </c>
      <c r="D896">
        <v>2600</v>
      </c>
    </row>
    <row r="897" spans="1:4" x14ac:dyDescent="0.25">
      <c r="A897" t="str">
        <f>T("670490")</f>
        <v>670490</v>
      </c>
      <c r="B897" t="str">
        <f>T("Perruques, barbes, sourcils, cils, mèches et articles simil., en poils ou matières textiles (sauf matières textiles synthétiques)")</f>
        <v>Perruques, barbes, sourcils, cils, mèches et articles simil., en poils ou matières textiles (sauf matières textiles synthétiques)</v>
      </c>
    </row>
    <row r="898" spans="1:4" x14ac:dyDescent="0.25">
      <c r="A898" t="str">
        <f>T("   ZZZ_Monde")</f>
        <v xml:space="preserve">   ZZZ_Monde</v>
      </c>
      <c r="B898" t="str">
        <f>T("   ZZZ_Monde")</f>
        <v xml:space="preserve">   ZZZ_Monde</v>
      </c>
      <c r="C898">
        <v>350000</v>
      </c>
      <c r="D898">
        <v>800</v>
      </c>
    </row>
    <row r="899" spans="1:4" x14ac:dyDescent="0.25">
      <c r="A899" t="str">
        <f>T("   GA")</f>
        <v xml:space="preserve">   GA</v>
      </c>
      <c r="B899" t="str">
        <f>T("   Gabon")</f>
        <v xml:space="preserve">   Gabon</v>
      </c>
      <c r="C899">
        <v>350000</v>
      </c>
      <c r="D899">
        <v>800</v>
      </c>
    </row>
    <row r="900" spans="1:4" x14ac:dyDescent="0.25">
      <c r="A900" t="str">
        <f>T("680223")</f>
        <v>680223</v>
      </c>
      <c r="B900" t="str">
        <f>T("Granit et ouvrages en ces pierres, simplement taillés ou sciés, à surface plane ou unie (sauf à surface entièrement ou partiellement rabotée, poncée au papier sablé, grossièrement ou finement meulée ou polie; non du n° 6801.00.00 ou 6802.10.00)")</f>
        <v>Granit et ouvrages en ces pierres, simplement taillés ou sciés, à surface plane ou unie (sauf à surface entièrement ou partiellement rabotée, poncée au papier sablé, grossièrement ou finement meulée ou polie; non du n° 6801.00.00 ou 6802.10.00)</v>
      </c>
    </row>
    <row r="901" spans="1:4" x14ac:dyDescent="0.25">
      <c r="A901" t="str">
        <f>T("   ZZZ_Monde")</f>
        <v xml:space="preserve">   ZZZ_Monde</v>
      </c>
      <c r="B901" t="str">
        <f>T("   ZZZ_Monde")</f>
        <v xml:space="preserve">   ZZZ_Monde</v>
      </c>
      <c r="C901">
        <v>100000</v>
      </c>
      <c r="D901">
        <v>20000</v>
      </c>
    </row>
    <row r="902" spans="1:4" x14ac:dyDescent="0.25">
      <c r="A902" t="str">
        <f>T("   LB")</f>
        <v xml:space="preserve">   LB</v>
      </c>
      <c r="B902" t="str">
        <f>T("   Liban")</f>
        <v xml:space="preserve">   Liban</v>
      </c>
      <c r="C902">
        <v>100000</v>
      </c>
      <c r="D902">
        <v>20000</v>
      </c>
    </row>
    <row r="903" spans="1:4" x14ac:dyDescent="0.25">
      <c r="A903" t="str">
        <f>T("681019")</f>
        <v>681019</v>
      </c>
      <c r="B903" t="str">
        <f>T("Tuiles, carreaux, dalles et articles simil., en ciment, en béton ou en pierre artificielle (autres que blocs et briques pour la construction)")</f>
        <v>Tuiles, carreaux, dalles et articles simil., en ciment, en béton ou en pierre artificielle (autres que blocs et briques pour la construction)</v>
      </c>
    </row>
    <row r="904" spans="1:4" x14ac:dyDescent="0.25">
      <c r="A904" t="str">
        <f>T("   ZZZ_Monde")</f>
        <v xml:space="preserve">   ZZZ_Monde</v>
      </c>
      <c r="B904" t="str">
        <f>T("   ZZZ_Monde")</f>
        <v xml:space="preserve">   ZZZ_Monde</v>
      </c>
      <c r="C904">
        <v>136021850</v>
      </c>
      <c r="D904">
        <v>1406045</v>
      </c>
    </row>
    <row r="905" spans="1:4" x14ac:dyDescent="0.25">
      <c r="A905" t="str">
        <f>T("   CI")</f>
        <v xml:space="preserve">   CI</v>
      </c>
      <c r="B905" t="str">
        <f>T("   Côte d'Ivoire")</f>
        <v xml:space="preserve">   Côte d'Ivoire</v>
      </c>
      <c r="C905">
        <v>10560000</v>
      </c>
      <c r="D905">
        <v>45436</v>
      </c>
    </row>
    <row r="906" spans="1:4" x14ac:dyDescent="0.25">
      <c r="A906" t="str">
        <f>T("   TG")</f>
        <v xml:space="preserve">   TG</v>
      </c>
      <c r="B906" t="str">
        <f>T("   Togo")</f>
        <v xml:space="preserve">   Togo</v>
      </c>
      <c r="C906">
        <v>125461850</v>
      </c>
      <c r="D906">
        <v>1360609</v>
      </c>
    </row>
    <row r="907" spans="1:4" x14ac:dyDescent="0.25">
      <c r="A907" t="str">
        <f>T("690810")</f>
        <v>690810</v>
      </c>
      <c r="B907" t="str">
        <f>T("Carreaux, cubes, dés et simil., en céramique, pour mosaïques, vernissés ou émaillés, même de forme autre que carrée ou rectangulaire, dont la plus grande surface peut être inscrite dans un carré de côté &lt; 7 cm, même sur support")</f>
        <v>Carreaux, cubes, dés et simil., en céramique, pour mosaïques, vernissés ou émaillés, même de forme autre que carrée ou rectangulaire, dont la plus grande surface peut être inscrite dans un carré de côté &lt; 7 cm, même sur support</v>
      </c>
    </row>
    <row r="908" spans="1:4" x14ac:dyDescent="0.25">
      <c r="A908" t="str">
        <f>T("   ZZZ_Monde")</f>
        <v xml:space="preserve">   ZZZ_Monde</v>
      </c>
      <c r="B908" t="str">
        <f>T("   ZZZ_Monde")</f>
        <v xml:space="preserve">   ZZZ_Monde</v>
      </c>
      <c r="C908">
        <v>2453675</v>
      </c>
      <c r="D908">
        <v>2000</v>
      </c>
    </row>
    <row r="909" spans="1:4" x14ac:dyDescent="0.25">
      <c r="A909" t="str">
        <f>T("   SG")</f>
        <v xml:space="preserve">   SG</v>
      </c>
      <c r="B909" t="str">
        <f>T("   Singapour")</f>
        <v xml:space="preserve">   Singapour</v>
      </c>
      <c r="C909">
        <v>2453675</v>
      </c>
      <c r="D909">
        <v>2000</v>
      </c>
    </row>
    <row r="910" spans="1:4" x14ac:dyDescent="0.25">
      <c r="A910" t="str">
        <f>T("690890")</f>
        <v>690890</v>
      </c>
      <c r="B910" t="str">
        <f>T("Carreaux et dalles de pavement ou de revêtement, en céramique, vernissés ou émaillés (sauf articles en farines siliceuses fossiles ou en terres siliceuses analogues, articles céramiques réfractaires, carreaux servant de dessous-de-plat, objets d'ornementa")</f>
        <v>Carreaux et dalles de pavement ou de revêtement, en céramique, vernissés ou émaillés (sauf articles en farines siliceuses fossiles ou en terres siliceuses analogues, articles céramiques réfractaires, carreaux servant de dessous-de-plat, objets d'ornementa</v>
      </c>
    </row>
    <row r="911" spans="1:4" x14ac:dyDescent="0.25">
      <c r="A911" t="str">
        <f>T("   ZZZ_Monde")</f>
        <v xml:space="preserve">   ZZZ_Monde</v>
      </c>
      <c r="B911" t="str">
        <f>T("   ZZZ_Monde")</f>
        <v xml:space="preserve">   ZZZ_Monde</v>
      </c>
      <c r="C911">
        <v>4000000</v>
      </c>
      <c r="D911">
        <v>10000</v>
      </c>
    </row>
    <row r="912" spans="1:4" x14ac:dyDescent="0.25">
      <c r="A912" t="str">
        <f>T("   GN")</f>
        <v xml:space="preserve">   GN</v>
      </c>
      <c r="B912" t="str">
        <f>T("   Guinée")</f>
        <v xml:space="preserve">   Guinée</v>
      </c>
      <c r="C912">
        <v>4000000</v>
      </c>
      <c r="D912">
        <v>10000</v>
      </c>
    </row>
    <row r="913" spans="1:4" x14ac:dyDescent="0.25">
      <c r="A913" t="str">
        <f>T("691110")</f>
        <v>691110</v>
      </c>
      <c r="B913" t="str">
        <f>T("Articles pour le service de la table ou de la cuisine en porcelaine (sauf objets d'ornementation; cruchons, cornues et récipients simil. de transport ou d'emballage; moulins à café et moulins à épices avec récipient en céramique et élément de travail en m")</f>
        <v>Articles pour le service de la table ou de la cuisine en porcelaine (sauf objets d'ornementation; cruchons, cornues et récipients simil. de transport ou d'emballage; moulins à café et moulins à épices avec récipient en céramique et élément de travail en m</v>
      </c>
    </row>
    <row r="914" spans="1:4" x14ac:dyDescent="0.25">
      <c r="A914" t="str">
        <f>T("   ZZZ_Monde")</f>
        <v xml:space="preserve">   ZZZ_Monde</v>
      </c>
      <c r="B914" t="str">
        <f>T("   ZZZ_Monde")</f>
        <v xml:space="preserve">   ZZZ_Monde</v>
      </c>
      <c r="C914">
        <v>1060000</v>
      </c>
      <c r="D914">
        <v>547</v>
      </c>
    </row>
    <row r="915" spans="1:4" x14ac:dyDescent="0.25">
      <c r="A915" t="str">
        <f>T("   CI")</f>
        <v xml:space="preserve">   CI</v>
      </c>
      <c r="B915" t="str">
        <f>T("   Côte d'Ivoire")</f>
        <v xml:space="preserve">   Côte d'Ivoire</v>
      </c>
      <c r="C915">
        <v>1060000</v>
      </c>
      <c r="D915">
        <v>547</v>
      </c>
    </row>
    <row r="916" spans="1:4" x14ac:dyDescent="0.25">
      <c r="A916" t="str">
        <f>T("700529")</f>
        <v>700529</v>
      </c>
      <c r="B916" t="str">
        <f>T("PLAQUES OU FEUILLES EN GLACE [VERRE FLOTTÉ ET VERRE DOUCI ET POLI SUR UNE OU DEUX FACES], NON AUTREMENT TRAVAILLÉE (AUTRE QU'ARMÉE, COLORÉE DANS LA MASSE, OPACIFIÉE, PLAQUÉE [DOUBLÉE] OU SIMPL. DOUCIE, OU À COUCHE ABSORBANTE, RÉFLÉCHISSANTE OU NON-RÉFLÉCH")</f>
        <v>PLAQUES OU FEUILLES EN GLACE [VERRE FLOTTÉ ET VERRE DOUCI ET POLI SUR UNE OU DEUX FACES], NON AUTREMENT TRAVAILLÉE (AUTRE QU'ARMÉE, COLORÉE DANS LA MASSE, OPACIFIÉE, PLAQUÉE [DOUBLÉE] OU SIMPL. DOUCIE, OU À COUCHE ABSORBANTE, RÉFLÉCHISSANTE OU NON-RÉFLÉCH</v>
      </c>
    </row>
    <row r="917" spans="1:4" x14ac:dyDescent="0.25">
      <c r="A917" t="str">
        <f>T("   ZZZ_Monde")</f>
        <v xml:space="preserve">   ZZZ_Monde</v>
      </c>
      <c r="B917" t="str">
        <f>T("   ZZZ_Monde")</f>
        <v xml:space="preserve">   ZZZ_Monde</v>
      </c>
      <c r="C917">
        <v>2085088</v>
      </c>
      <c r="D917">
        <v>2636</v>
      </c>
    </row>
    <row r="918" spans="1:4" x14ac:dyDescent="0.25">
      <c r="A918" t="str">
        <f>T("   FR")</f>
        <v xml:space="preserve">   FR</v>
      </c>
      <c r="B918" t="str">
        <f>T("   France")</f>
        <v xml:space="preserve">   France</v>
      </c>
      <c r="C918">
        <v>2085088</v>
      </c>
      <c r="D918">
        <v>2636</v>
      </c>
    </row>
    <row r="919" spans="1:4" x14ac:dyDescent="0.25">
      <c r="A919" t="str">
        <f>T("701090")</f>
        <v>701090</v>
      </c>
      <c r="B919" t="str">
        <f>T("Bonbonnes, bouteilles, flacons, bocaux, pots, emballages tubulaires et autres récipients en verre pour le transport ou l'emballage commercial et bocaux à conserves en verre (sauf ampoules, bouteilles isolantes et récipients dont l'isolation est assurée pa")</f>
        <v>Bonbonnes, bouteilles, flacons, bocaux, pots, emballages tubulaires et autres récipients en verre pour le transport ou l'emballage commercial et bocaux à conserves en verre (sauf ampoules, bouteilles isolantes et récipients dont l'isolation est assurée pa</v>
      </c>
    </row>
    <row r="920" spans="1:4" x14ac:dyDescent="0.25">
      <c r="A920" t="str">
        <f>T("   ZZZ_Monde")</f>
        <v xml:space="preserve">   ZZZ_Monde</v>
      </c>
      <c r="B920" t="str">
        <f>T("   ZZZ_Monde")</f>
        <v xml:space="preserve">   ZZZ_Monde</v>
      </c>
      <c r="C920">
        <v>10937478</v>
      </c>
      <c r="D920">
        <v>22823</v>
      </c>
    </row>
    <row r="921" spans="1:4" x14ac:dyDescent="0.25">
      <c r="A921" t="str">
        <f>T("   LY")</f>
        <v xml:space="preserve">   LY</v>
      </c>
      <c r="B921" t="str">
        <f>T("   Libyenne, Jamahiriya Arabe")</f>
        <v xml:space="preserve">   Libyenne, Jamahiriya Arabe</v>
      </c>
      <c r="C921">
        <v>10937478</v>
      </c>
      <c r="D921">
        <v>22823</v>
      </c>
    </row>
    <row r="922" spans="1:4" x14ac:dyDescent="0.25">
      <c r="A922" t="str">
        <f>T("702000")</f>
        <v>702000</v>
      </c>
      <c r="B922" t="str">
        <f>T("Ouvrages en verre n.d.a.")</f>
        <v>Ouvrages en verre n.d.a.</v>
      </c>
    </row>
    <row r="923" spans="1:4" x14ac:dyDescent="0.25">
      <c r="A923" t="str">
        <f>T("   ZZZ_Monde")</f>
        <v xml:space="preserve">   ZZZ_Monde</v>
      </c>
      <c r="B923" t="str">
        <f>T("   ZZZ_Monde")</f>
        <v xml:space="preserve">   ZZZ_Monde</v>
      </c>
      <c r="C923">
        <v>1242060</v>
      </c>
      <c r="D923">
        <v>51</v>
      </c>
    </row>
    <row r="924" spans="1:4" x14ac:dyDescent="0.25">
      <c r="A924" t="str">
        <f>T("   FR")</f>
        <v xml:space="preserve">   FR</v>
      </c>
      <c r="B924" t="str">
        <f>T("   France")</f>
        <v xml:space="preserve">   France</v>
      </c>
      <c r="C924">
        <v>1242060</v>
      </c>
      <c r="D924">
        <v>51</v>
      </c>
    </row>
    <row r="925" spans="1:4" x14ac:dyDescent="0.25">
      <c r="A925" t="str">
        <f>T("720390")</f>
        <v>720390</v>
      </c>
      <c r="B925" t="str">
        <f>T("PRODUITS FERREUX SPONGIEUX OBTENUS PAR ATOMISATION DE PRODUITS FERREUX BRUTS FONDUS ET FER, D'UNE PURETÉ &gt;= 99,94%, EN MORCEAUX, BOULETTES OU FORMES SIMIL.")</f>
        <v>PRODUITS FERREUX SPONGIEUX OBTENUS PAR ATOMISATION DE PRODUITS FERREUX BRUTS FONDUS ET FER, D'UNE PURETÉ &gt;= 99,94%, EN MORCEAUX, BOULETTES OU FORMES SIMIL.</v>
      </c>
    </row>
    <row r="926" spans="1:4" x14ac:dyDescent="0.25">
      <c r="A926" t="str">
        <f>T("   ZZZ_Monde")</f>
        <v xml:space="preserve">   ZZZ_Monde</v>
      </c>
      <c r="B926" t="str">
        <f>T("   ZZZ_Monde")</f>
        <v xml:space="preserve">   ZZZ_Monde</v>
      </c>
      <c r="C926">
        <v>1500000</v>
      </c>
      <c r="D926">
        <v>30000</v>
      </c>
    </row>
    <row r="927" spans="1:4" x14ac:dyDescent="0.25">
      <c r="A927" t="str">
        <f>T("   IN")</f>
        <v xml:space="preserve">   IN</v>
      </c>
      <c r="B927" t="str">
        <f>T("   Inde")</f>
        <v xml:space="preserve">   Inde</v>
      </c>
      <c r="C927">
        <v>1500000</v>
      </c>
      <c r="D927">
        <v>30000</v>
      </c>
    </row>
    <row r="928" spans="1:4" x14ac:dyDescent="0.25">
      <c r="A928" t="str">
        <f>T("720410")</f>
        <v>720410</v>
      </c>
      <c r="B928" t="str">
        <f>T("DÉCHETS ET DÉBRIS DE FONTE -FERRAILLES- (AUTRES QUE RADIOACTIFS)")</f>
        <v>DÉCHETS ET DÉBRIS DE FONTE -FERRAILLES- (AUTRES QUE RADIOACTIFS)</v>
      </c>
    </row>
    <row r="929" spans="1:4" x14ac:dyDescent="0.25">
      <c r="A929" t="str">
        <f>T("   ZZZ_Monde")</f>
        <v xml:space="preserve">   ZZZ_Monde</v>
      </c>
      <c r="B929" t="str">
        <f>T("   ZZZ_Monde")</f>
        <v xml:space="preserve">   ZZZ_Monde</v>
      </c>
      <c r="C929">
        <v>500000</v>
      </c>
      <c r="D929">
        <v>10000</v>
      </c>
    </row>
    <row r="930" spans="1:4" x14ac:dyDescent="0.25">
      <c r="A930" t="str">
        <f>T("   CN")</f>
        <v xml:space="preserve">   CN</v>
      </c>
      <c r="B930" t="str">
        <f>T("   Chine")</f>
        <v xml:space="preserve">   Chine</v>
      </c>
      <c r="C930">
        <v>500000</v>
      </c>
      <c r="D930">
        <v>10000</v>
      </c>
    </row>
    <row r="931" spans="1:4" x14ac:dyDescent="0.25">
      <c r="A931" t="str">
        <f>T("720429")</f>
        <v>720429</v>
      </c>
      <c r="B931" t="str">
        <f>T("DÉCHETS ET DÉBRIS D'ACIERS ALLIÉS [FERRAILLES] (SAUF ACIERS INOXYDABLES, DÉCHETS RADIOACTIFS ET DÉCHETS ET DÉBRIS DE PILES, DE BATTERIES DE PILES ET D'ACCUMULATEURS ÉLECTRIQUES)")</f>
        <v>DÉCHETS ET DÉBRIS D'ACIERS ALLIÉS [FERRAILLES] (SAUF ACIERS INOXYDABLES, DÉCHETS RADIOACTIFS ET DÉCHETS ET DÉBRIS DE PILES, DE BATTERIES DE PILES ET D'ACCUMULATEURS ÉLECTRIQUES)</v>
      </c>
    </row>
    <row r="932" spans="1:4" x14ac:dyDescent="0.25">
      <c r="A932" t="str">
        <f>T("   ZZZ_Monde")</f>
        <v xml:space="preserve">   ZZZ_Monde</v>
      </c>
      <c r="B932" t="str">
        <f>T("   ZZZ_Monde")</f>
        <v xml:space="preserve">   ZZZ_Monde</v>
      </c>
      <c r="C932">
        <v>2224595000</v>
      </c>
      <c r="D932">
        <v>44302476</v>
      </c>
    </row>
    <row r="933" spans="1:4" x14ac:dyDescent="0.25">
      <c r="A933" t="str">
        <f>T("   AE")</f>
        <v xml:space="preserve">   AE</v>
      </c>
      <c r="B933" t="str">
        <f>T("   Emirats Arabes Unis")</f>
        <v xml:space="preserve">   Emirats Arabes Unis</v>
      </c>
      <c r="C933">
        <v>22250000</v>
      </c>
      <c r="D933">
        <v>445000</v>
      </c>
    </row>
    <row r="934" spans="1:4" x14ac:dyDescent="0.25">
      <c r="A934" t="str">
        <f>T("   BE")</f>
        <v xml:space="preserve">   BE</v>
      </c>
      <c r="B934" t="str">
        <f>T("   Belgique")</f>
        <v xml:space="preserve">   Belgique</v>
      </c>
      <c r="C934">
        <v>975000</v>
      </c>
      <c r="D934">
        <v>11076</v>
      </c>
    </row>
    <row r="935" spans="1:4" x14ac:dyDescent="0.25">
      <c r="A935" t="str">
        <f>T("   BR")</f>
        <v xml:space="preserve">   BR</v>
      </c>
      <c r="B935" t="str">
        <f>T("   Brésil")</f>
        <v xml:space="preserve">   Brésil</v>
      </c>
      <c r="C935">
        <v>500000</v>
      </c>
      <c r="D935">
        <v>10000</v>
      </c>
    </row>
    <row r="936" spans="1:4" x14ac:dyDescent="0.25">
      <c r="A936" t="str">
        <f>T("   CN")</f>
        <v xml:space="preserve">   CN</v>
      </c>
      <c r="B936" t="str">
        <f>T("   Chine")</f>
        <v xml:space="preserve">   Chine</v>
      </c>
      <c r="C936">
        <v>921300000</v>
      </c>
      <c r="D936">
        <v>18424000</v>
      </c>
    </row>
    <row r="937" spans="1:4" x14ac:dyDescent="0.25">
      <c r="A937" t="str">
        <f>T("   ES")</f>
        <v xml:space="preserve">   ES</v>
      </c>
      <c r="B937" t="str">
        <f>T("   Espagne")</f>
        <v xml:space="preserve">   Espagne</v>
      </c>
      <c r="C937">
        <v>6000000</v>
      </c>
      <c r="D937">
        <v>120000</v>
      </c>
    </row>
    <row r="938" spans="1:4" x14ac:dyDescent="0.25">
      <c r="A938" t="str">
        <f>T("   GA")</f>
        <v xml:space="preserve">   GA</v>
      </c>
      <c r="B938" t="str">
        <f>T("   Gabon")</f>
        <v xml:space="preserve">   Gabon</v>
      </c>
      <c r="C938">
        <v>1000000</v>
      </c>
      <c r="D938">
        <v>20000</v>
      </c>
    </row>
    <row r="939" spans="1:4" x14ac:dyDescent="0.25">
      <c r="A939" t="str">
        <f>T("   GH")</f>
        <v xml:space="preserve">   GH</v>
      </c>
      <c r="B939" t="str">
        <f>T("   Ghana")</f>
        <v xml:space="preserve">   Ghana</v>
      </c>
      <c r="C939">
        <v>10000000</v>
      </c>
      <c r="D939">
        <v>200000</v>
      </c>
    </row>
    <row r="940" spans="1:4" x14ac:dyDescent="0.25">
      <c r="A940" t="str">
        <f>T("   HK")</f>
        <v xml:space="preserve">   HK</v>
      </c>
      <c r="B940" t="str">
        <f>T("   Hong-Kong")</f>
        <v xml:space="preserve">   Hong-Kong</v>
      </c>
      <c r="C940">
        <v>2500000</v>
      </c>
      <c r="D940">
        <v>50000</v>
      </c>
    </row>
    <row r="941" spans="1:4" x14ac:dyDescent="0.25">
      <c r="A941" t="str">
        <f>T("   IN")</f>
        <v xml:space="preserve">   IN</v>
      </c>
      <c r="B941" t="str">
        <f>T("   Inde")</f>
        <v xml:space="preserve">   Inde</v>
      </c>
      <c r="C941">
        <v>696119000</v>
      </c>
      <c r="D941">
        <v>13743380</v>
      </c>
    </row>
    <row r="942" spans="1:4" x14ac:dyDescent="0.25">
      <c r="A942" t="str">
        <f>T("   IR")</f>
        <v xml:space="preserve">   IR</v>
      </c>
      <c r="B942" t="str">
        <f>T("   Iran, République Islqmique d'")</f>
        <v xml:space="preserve">   Iran, République Islqmique d'</v>
      </c>
      <c r="C942">
        <v>500000</v>
      </c>
      <c r="D942">
        <v>10000</v>
      </c>
    </row>
    <row r="943" spans="1:4" x14ac:dyDescent="0.25">
      <c r="A943" t="str">
        <f>T("   IT")</f>
        <v xml:space="preserve">   IT</v>
      </c>
      <c r="B943" t="str">
        <f>T("   Italie")</f>
        <v xml:space="preserve">   Italie</v>
      </c>
      <c r="C943">
        <v>12500000</v>
      </c>
      <c r="D943">
        <v>250000</v>
      </c>
    </row>
    <row r="944" spans="1:4" x14ac:dyDescent="0.25">
      <c r="A944" t="str">
        <f>T("   KR")</f>
        <v xml:space="preserve">   KR</v>
      </c>
      <c r="B944" t="str">
        <f>T("   Corée, République de")</f>
        <v xml:space="preserve">   Corée, République de</v>
      </c>
      <c r="C944">
        <v>24500000</v>
      </c>
      <c r="D944">
        <v>490000</v>
      </c>
    </row>
    <row r="945" spans="1:4" x14ac:dyDescent="0.25">
      <c r="A945" t="str">
        <f>T("   MY")</f>
        <v xml:space="preserve">   MY</v>
      </c>
      <c r="B945" t="str">
        <f>T("   Malaisie")</f>
        <v xml:space="preserve">   Malaisie</v>
      </c>
      <c r="C945">
        <v>1000000</v>
      </c>
      <c r="D945">
        <v>20000</v>
      </c>
    </row>
    <row r="946" spans="1:4" x14ac:dyDescent="0.25">
      <c r="A946" t="str">
        <f>T("   SA")</f>
        <v xml:space="preserve">   SA</v>
      </c>
      <c r="B946" t="str">
        <f>T("   Arabie Saoudite")</f>
        <v xml:space="preserve">   Arabie Saoudite</v>
      </c>
      <c r="C946">
        <v>4000000</v>
      </c>
      <c r="D946">
        <v>80000</v>
      </c>
    </row>
    <row r="947" spans="1:4" x14ac:dyDescent="0.25">
      <c r="A947" t="str">
        <f>T("   SG")</f>
        <v xml:space="preserve">   SG</v>
      </c>
      <c r="B947" t="str">
        <f>T("   Singapour")</f>
        <v xml:space="preserve">   Singapour</v>
      </c>
      <c r="C947">
        <v>5500000</v>
      </c>
      <c r="D947">
        <v>110000</v>
      </c>
    </row>
    <row r="948" spans="1:4" x14ac:dyDescent="0.25">
      <c r="A948" t="str">
        <f>T("   TW")</f>
        <v xml:space="preserve">   TW</v>
      </c>
      <c r="B948" t="str">
        <f>T("   Taïwan, Province de Chine")</f>
        <v xml:space="preserve">   Taïwan, Province de Chine</v>
      </c>
      <c r="C948">
        <v>5500000</v>
      </c>
      <c r="D948">
        <v>110000</v>
      </c>
    </row>
    <row r="949" spans="1:4" x14ac:dyDescent="0.25">
      <c r="A949" t="str">
        <f>T("   VN")</f>
        <v xml:space="preserve">   VN</v>
      </c>
      <c r="B949" t="str">
        <f>T("   Vietnam")</f>
        <v xml:space="preserve">   Vietnam</v>
      </c>
      <c r="C949">
        <v>510451000</v>
      </c>
      <c r="D949">
        <v>10209020</v>
      </c>
    </row>
    <row r="950" spans="1:4" x14ac:dyDescent="0.25">
      <c r="A950" t="str">
        <f>T("720430")</f>
        <v>720430</v>
      </c>
      <c r="B950" t="str">
        <f>T("DÉCHETS ET DÉBRIS DE FER OU D'ACIER ÉTAMÉS [FERRAILLES] (AUTRES QUE RADIOACTIFS ET DÉCHETS ET DÉBRIS DE PILES, DE BATTERIES DE PILES ET D'ACCUMULATEURS ÉLECTRIQUES)")</f>
        <v>DÉCHETS ET DÉBRIS DE FER OU D'ACIER ÉTAMÉS [FERRAILLES] (AUTRES QUE RADIOACTIFS ET DÉCHETS ET DÉBRIS DE PILES, DE BATTERIES DE PILES ET D'ACCUMULATEURS ÉLECTRIQUES)</v>
      </c>
    </row>
    <row r="951" spans="1:4" x14ac:dyDescent="0.25">
      <c r="A951" t="str">
        <f>T("   ZZZ_Monde")</f>
        <v xml:space="preserve">   ZZZ_Monde</v>
      </c>
      <c r="B951" t="str">
        <f>T("   ZZZ_Monde")</f>
        <v xml:space="preserve">   ZZZ_Monde</v>
      </c>
      <c r="C951">
        <v>1368278955</v>
      </c>
      <c r="D951">
        <v>25311480</v>
      </c>
    </row>
    <row r="952" spans="1:4" x14ac:dyDescent="0.25">
      <c r="A952" t="str">
        <f>T("   BE")</f>
        <v xml:space="preserve">   BE</v>
      </c>
      <c r="B952" t="str">
        <f>T("   Belgique")</f>
        <v xml:space="preserve">   Belgique</v>
      </c>
      <c r="C952">
        <v>500000</v>
      </c>
      <c r="D952">
        <v>10000</v>
      </c>
    </row>
    <row r="953" spans="1:4" x14ac:dyDescent="0.25">
      <c r="A953" t="str">
        <f>T("   CH")</f>
        <v xml:space="preserve">   CH</v>
      </c>
      <c r="B953" t="str">
        <f>T("   Suisse")</f>
        <v xml:space="preserve">   Suisse</v>
      </c>
      <c r="C953">
        <v>1705000</v>
      </c>
      <c r="D953">
        <v>34100</v>
      </c>
    </row>
    <row r="954" spans="1:4" x14ac:dyDescent="0.25">
      <c r="A954" t="str">
        <f>T("   CN")</f>
        <v xml:space="preserve">   CN</v>
      </c>
      <c r="B954" t="str">
        <f>T("   Chine")</f>
        <v xml:space="preserve">   Chine</v>
      </c>
      <c r="C954">
        <v>849550000</v>
      </c>
      <c r="D954">
        <v>16931000</v>
      </c>
    </row>
    <row r="955" spans="1:4" x14ac:dyDescent="0.25">
      <c r="A955" t="str">
        <f>T("   ES")</f>
        <v xml:space="preserve">   ES</v>
      </c>
      <c r="B955" t="str">
        <f>T("   Espagne")</f>
        <v xml:space="preserve">   Espagne</v>
      </c>
      <c r="C955">
        <v>1500000</v>
      </c>
      <c r="D955">
        <v>30000</v>
      </c>
    </row>
    <row r="956" spans="1:4" x14ac:dyDescent="0.25">
      <c r="A956" t="str">
        <f>T("   FR")</f>
        <v xml:space="preserve">   FR</v>
      </c>
      <c r="B956" t="str">
        <f>T("   France")</f>
        <v xml:space="preserve">   France</v>
      </c>
      <c r="C956">
        <v>1950000</v>
      </c>
      <c r="D956">
        <v>35000</v>
      </c>
    </row>
    <row r="957" spans="1:4" x14ac:dyDescent="0.25">
      <c r="A957" t="str">
        <f>T("   ID")</f>
        <v xml:space="preserve">   ID</v>
      </c>
      <c r="B957" t="str">
        <f>T("   Indonésie")</f>
        <v xml:space="preserve">   Indonésie</v>
      </c>
      <c r="C957">
        <v>21200000</v>
      </c>
      <c r="D957">
        <v>420000</v>
      </c>
    </row>
    <row r="958" spans="1:4" x14ac:dyDescent="0.25">
      <c r="A958" t="str">
        <f>T("   IN")</f>
        <v xml:space="preserve">   IN</v>
      </c>
      <c r="B958" t="str">
        <f>T("   Inde")</f>
        <v xml:space="preserve">   Inde</v>
      </c>
      <c r="C958">
        <v>382474955</v>
      </c>
      <c r="D958">
        <v>5663400</v>
      </c>
    </row>
    <row r="959" spans="1:4" x14ac:dyDescent="0.25">
      <c r="A959" t="str">
        <f>T("   IT")</f>
        <v xml:space="preserve">   IT</v>
      </c>
      <c r="B959" t="str">
        <f>T("   Italie")</f>
        <v xml:space="preserve">   Italie</v>
      </c>
      <c r="C959">
        <v>1500000</v>
      </c>
      <c r="D959">
        <v>30000</v>
      </c>
    </row>
    <row r="960" spans="1:4" x14ac:dyDescent="0.25">
      <c r="A960" t="str">
        <f>T("   JP")</f>
        <v xml:space="preserve">   JP</v>
      </c>
      <c r="B960" t="str">
        <f>T("   Japon")</f>
        <v xml:space="preserve">   Japon</v>
      </c>
      <c r="C960">
        <v>4919000</v>
      </c>
      <c r="D960">
        <v>98380</v>
      </c>
    </row>
    <row r="961" spans="1:4" x14ac:dyDescent="0.25">
      <c r="A961" t="str">
        <f>T("   KR")</f>
        <v xml:space="preserve">   KR</v>
      </c>
      <c r="B961" t="str">
        <f>T("   Corée, République de")</f>
        <v xml:space="preserve">   Corée, République de</v>
      </c>
      <c r="C961">
        <v>1500000</v>
      </c>
      <c r="D961">
        <v>30000</v>
      </c>
    </row>
    <row r="962" spans="1:4" x14ac:dyDescent="0.25">
      <c r="A962" t="str">
        <f>T("   MY")</f>
        <v xml:space="preserve">   MY</v>
      </c>
      <c r="B962" t="str">
        <f>T("   Malaisie")</f>
        <v xml:space="preserve">   Malaisie</v>
      </c>
      <c r="C962">
        <v>8500000</v>
      </c>
      <c r="D962">
        <v>170000</v>
      </c>
    </row>
    <row r="963" spans="1:4" x14ac:dyDescent="0.25">
      <c r="A963" t="str">
        <f>T("   TW")</f>
        <v xml:space="preserve">   TW</v>
      </c>
      <c r="B963" t="str">
        <f>T("   Taïwan, Province de Chine")</f>
        <v xml:space="preserve">   Taïwan, Province de Chine</v>
      </c>
      <c r="C963">
        <v>500000</v>
      </c>
      <c r="D963">
        <v>10000</v>
      </c>
    </row>
    <row r="964" spans="1:4" x14ac:dyDescent="0.25">
      <c r="A964" t="str">
        <f>T("   VN")</f>
        <v xml:space="preserve">   VN</v>
      </c>
      <c r="B964" t="str">
        <f>T("   Vietnam")</f>
        <v xml:space="preserve">   Vietnam</v>
      </c>
      <c r="C964">
        <v>92480000</v>
      </c>
      <c r="D964">
        <v>1849600</v>
      </c>
    </row>
    <row r="965" spans="1:4" x14ac:dyDescent="0.25">
      <c r="A965" t="str">
        <f>T("720449")</f>
        <v>720449</v>
      </c>
      <c r="B965" t="str">
        <f>T("DÉCHETS ET DÉBRIS DE FER OU D'ACIER [FERRAILLES] (SAUF DÉCHETS ET DÉBRIS RADIOACTIFS ET DE PILES, DE BATTERIES DE PILES ET D'ACCUMULATEURS ÉLECTRIQUES; SCORIES, LAITIERS ET AUTRES DÉCHETS DE LA FABRICATION DU FER OU DE L'ACIER; MORCEAUX PROVENANT DU BRIS")</f>
        <v>DÉCHETS ET DÉBRIS DE FER OU D'ACIER [FERRAILLES] (SAUF DÉCHETS ET DÉBRIS RADIOACTIFS ET DE PILES, DE BATTERIES DE PILES ET D'ACCUMULATEURS ÉLECTRIQUES; SCORIES, LAITIERS ET AUTRES DÉCHETS DE LA FABRICATION DU FER OU DE L'ACIER; MORCEAUX PROVENANT DU BRIS</v>
      </c>
    </row>
    <row r="966" spans="1:4" x14ac:dyDescent="0.25">
      <c r="A966" t="str">
        <f>T("   ZZZ_Monde")</f>
        <v xml:space="preserve">   ZZZ_Monde</v>
      </c>
      <c r="B966" t="str">
        <f>T("   ZZZ_Monde")</f>
        <v xml:space="preserve">   ZZZ_Monde</v>
      </c>
      <c r="C966">
        <v>516000000</v>
      </c>
      <c r="D966">
        <v>9860000</v>
      </c>
    </row>
    <row r="967" spans="1:4" x14ac:dyDescent="0.25">
      <c r="A967" t="str">
        <f>T("   CH")</f>
        <v xml:space="preserve">   CH</v>
      </c>
      <c r="B967" t="str">
        <f>T("   Suisse")</f>
        <v xml:space="preserve">   Suisse</v>
      </c>
      <c r="C967">
        <v>1500000</v>
      </c>
      <c r="D967">
        <v>10000</v>
      </c>
    </row>
    <row r="968" spans="1:4" x14ac:dyDescent="0.25">
      <c r="A968" t="str">
        <f>T("   CN")</f>
        <v xml:space="preserve">   CN</v>
      </c>
      <c r="B968" t="str">
        <f>T("   Chine")</f>
        <v xml:space="preserve">   Chine</v>
      </c>
      <c r="C968">
        <v>481000000</v>
      </c>
      <c r="D968">
        <v>9180000</v>
      </c>
    </row>
    <row r="969" spans="1:4" x14ac:dyDescent="0.25">
      <c r="A969" t="str">
        <f>T("   IN")</f>
        <v xml:space="preserve">   IN</v>
      </c>
      <c r="B969" t="str">
        <f>T("   Inde")</f>
        <v xml:space="preserve">   Inde</v>
      </c>
      <c r="C969">
        <v>32500000</v>
      </c>
      <c r="D969">
        <v>650000</v>
      </c>
    </row>
    <row r="970" spans="1:4" x14ac:dyDescent="0.25">
      <c r="A970" t="str">
        <f>T("   MY")</f>
        <v xml:space="preserve">   MY</v>
      </c>
      <c r="B970" t="str">
        <f>T("   Malaisie")</f>
        <v xml:space="preserve">   Malaisie</v>
      </c>
      <c r="C970">
        <v>1000000</v>
      </c>
      <c r="D970">
        <v>20000</v>
      </c>
    </row>
    <row r="971" spans="1:4" x14ac:dyDescent="0.25">
      <c r="A971" t="str">
        <f>T("720529")</f>
        <v>720529</v>
      </c>
      <c r="B971" t="str">
        <f>T("Poudres de fonte brute, de fonte spiegel, de fer ou d'aciers non alliés (autres que les poudres de ferro-alliages et les isotopes radioactifs de poudre de fer)")</f>
        <v>Poudres de fonte brute, de fonte spiegel, de fer ou d'aciers non alliés (autres que les poudres de ferro-alliages et les isotopes radioactifs de poudre de fer)</v>
      </c>
    </row>
    <row r="972" spans="1:4" x14ac:dyDescent="0.25">
      <c r="A972" t="str">
        <f>T("   ZZZ_Monde")</f>
        <v xml:space="preserve">   ZZZ_Monde</v>
      </c>
      <c r="B972" t="str">
        <f>T("   ZZZ_Monde")</f>
        <v xml:space="preserve">   ZZZ_Monde</v>
      </c>
      <c r="C972">
        <v>2000000</v>
      </c>
      <c r="D972">
        <v>40000</v>
      </c>
    </row>
    <row r="973" spans="1:4" x14ac:dyDescent="0.25">
      <c r="A973" t="str">
        <f>T("   IN")</f>
        <v xml:space="preserve">   IN</v>
      </c>
      <c r="B973" t="str">
        <f>T("   Inde")</f>
        <v xml:space="preserve">   Inde</v>
      </c>
      <c r="C973">
        <v>2000000</v>
      </c>
      <c r="D973">
        <v>40000</v>
      </c>
    </row>
    <row r="974" spans="1:4" x14ac:dyDescent="0.25">
      <c r="A974" t="str">
        <f>T("720827")</f>
        <v>720827</v>
      </c>
      <c r="B974" t="str">
        <f>T("PRODUITS LAMINÉS PLATS, EN FER OU EN ACIERS NON ALLIÉS, D'UNE LARGEUR &gt;= 600 MM, ENROULÉS, SIMPLEMENT LAMINÉS À CHAUD, NON PLAQUÉS NI REVÊTUS, ÉPAISSEUR &lt; 3 MM, DÉCAPÉS (SANS MOTIFS EN RELIEF)")</f>
        <v>PRODUITS LAMINÉS PLATS, EN FER OU EN ACIERS NON ALLIÉS, D'UNE LARGEUR &gt;= 600 MM, ENROULÉS, SIMPLEMENT LAMINÉS À CHAUD, NON PLAQUÉS NI REVÊTUS, ÉPAISSEUR &lt; 3 MM, DÉCAPÉS (SANS MOTIFS EN RELIEF)</v>
      </c>
    </row>
    <row r="975" spans="1:4" x14ac:dyDescent="0.25">
      <c r="A975" t="str">
        <f>T("   ZZZ_Monde")</f>
        <v xml:space="preserve">   ZZZ_Monde</v>
      </c>
      <c r="B975" t="str">
        <f>T("   ZZZ_Monde")</f>
        <v xml:space="preserve">   ZZZ_Monde</v>
      </c>
      <c r="C975">
        <v>148435536</v>
      </c>
      <c r="D975">
        <v>407240</v>
      </c>
    </row>
    <row r="976" spans="1:4" x14ac:dyDescent="0.25">
      <c r="A976" t="str">
        <f>T("   BF")</f>
        <v xml:space="preserve">   BF</v>
      </c>
      <c r="B976" t="str">
        <f>T("   Burkina Faso")</f>
        <v xml:space="preserve">   Burkina Faso</v>
      </c>
      <c r="C976">
        <v>104737600</v>
      </c>
      <c r="D976">
        <v>282240</v>
      </c>
    </row>
    <row r="977" spans="1:4" x14ac:dyDescent="0.25">
      <c r="A977" t="str">
        <f>T("   TD")</f>
        <v xml:space="preserve">   TD</v>
      </c>
      <c r="B977" t="str">
        <f>T("   Tchad")</f>
        <v xml:space="preserve">   Tchad</v>
      </c>
      <c r="C977">
        <v>43697936</v>
      </c>
      <c r="D977">
        <v>125000</v>
      </c>
    </row>
    <row r="978" spans="1:4" x14ac:dyDescent="0.25">
      <c r="A978" t="str">
        <f>T("720839")</f>
        <v>720839</v>
      </c>
      <c r="B978" t="str">
        <f>T("PRODUITS LAMINÉS PLATS, EN FER OU EN ACIERS NON ALLIÉS, D'UNE LARGEUR &gt;= 600 MM, ENROULÉS, SIMPLEMENT LAMINÉS À CHAUD, NON PLAQUÉS NI REVÊTUS, ÉPAISSEUR &lt; 3 MM (SANS MOTIFS EN RELIEF, ET AUTRES QUE DÉCAPÉS)")</f>
        <v>PRODUITS LAMINÉS PLATS, EN FER OU EN ACIERS NON ALLIÉS, D'UNE LARGEUR &gt;= 600 MM, ENROULÉS, SIMPLEMENT LAMINÉS À CHAUD, NON PLAQUÉS NI REVÊTUS, ÉPAISSEUR &lt; 3 MM (SANS MOTIFS EN RELIEF, ET AUTRES QUE DÉCAPÉS)</v>
      </c>
    </row>
    <row r="979" spans="1:4" x14ac:dyDescent="0.25">
      <c r="A979" t="str">
        <f>T("   ZZZ_Monde")</f>
        <v xml:space="preserve">   ZZZ_Monde</v>
      </c>
      <c r="B979" t="str">
        <f>T("   ZZZ_Monde")</f>
        <v xml:space="preserve">   ZZZ_Monde</v>
      </c>
      <c r="C979">
        <v>437855830</v>
      </c>
      <c r="D979">
        <v>1099122</v>
      </c>
    </row>
    <row r="980" spans="1:4" x14ac:dyDescent="0.25">
      <c r="A980" t="str">
        <f>T("   NG")</f>
        <v xml:space="preserve">   NG</v>
      </c>
      <c r="B980" t="str">
        <f>T("   Nigéria")</f>
        <v xml:space="preserve">   Nigéria</v>
      </c>
      <c r="C980">
        <v>121862703</v>
      </c>
      <c r="D980">
        <v>312812</v>
      </c>
    </row>
    <row r="981" spans="1:4" x14ac:dyDescent="0.25">
      <c r="A981" t="str">
        <f>T("   TD")</f>
        <v xml:space="preserve">   TD</v>
      </c>
      <c r="B981" t="str">
        <f>T("   Tchad")</f>
        <v xml:space="preserve">   Tchad</v>
      </c>
      <c r="C981">
        <v>99549284</v>
      </c>
      <c r="D981">
        <v>267428</v>
      </c>
    </row>
    <row r="982" spans="1:4" x14ac:dyDescent="0.25">
      <c r="A982" t="str">
        <f>T("   TG")</f>
        <v xml:space="preserve">   TG</v>
      </c>
      <c r="B982" t="str">
        <f>T("   Togo")</f>
        <v xml:space="preserve">   Togo</v>
      </c>
      <c r="C982">
        <v>216443843</v>
      </c>
      <c r="D982">
        <v>518882</v>
      </c>
    </row>
    <row r="983" spans="1:4" x14ac:dyDescent="0.25">
      <c r="A983" t="str">
        <f>T("720915")</f>
        <v>720915</v>
      </c>
      <c r="B983" t="str">
        <f>T("PRODUITS LAMINÉS PLATS, EN FER OU EN ACIERS NON ALLIÉS, D'UNE LARGEUR &gt;= 600 MM, ENROULÉS, SIMPLEMENT LAMINÉS À FROID, NON PLAQUÉS NI REVÊTUS, ÉPAISSEUR &gt;= 3 MM")</f>
        <v>PRODUITS LAMINÉS PLATS, EN FER OU EN ACIERS NON ALLIÉS, D'UNE LARGEUR &gt;= 600 MM, ENROULÉS, SIMPLEMENT LAMINÉS À FROID, NON PLAQUÉS NI REVÊTUS, ÉPAISSEUR &gt;= 3 MM</v>
      </c>
    </row>
    <row r="984" spans="1:4" x14ac:dyDescent="0.25">
      <c r="A984" t="str">
        <f>T("   ZZZ_Monde")</f>
        <v xml:space="preserve">   ZZZ_Monde</v>
      </c>
      <c r="B984" t="str">
        <f>T("   ZZZ_Monde")</f>
        <v xml:space="preserve">   ZZZ_Monde</v>
      </c>
      <c r="C984">
        <v>97583299</v>
      </c>
      <c r="D984">
        <v>237703.8</v>
      </c>
    </row>
    <row r="985" spans="1:4" x14ac:dyDescent="0.25">
      <c r="A985" t="str">
        <f>T("   NG")</f>
        <v xml:space="preserve">   NG</v>
      </c>
      <c r="B985" t="str">
        <f>T("   Nigéria")</f>
        <v xml:space="preserve">   Nigéria</v>
      </c>
      <c r="C985">
        <v>64741317</v>
      </c>
      <c r="D985">
        <v>157703.79999999999</v>
      </c>
    </row>
    <row r="986" spans="1:4" x14ac:dyDescent="0.25">
      <c r="A986" t="str">
        <f>T("   TD")</f>
        <v xml:space="preserve">   TD</v>
      </c>
      <c r="B986" t="str">
        <f>T("   Tchad")</f>
        <v xml:space="preserve">   Tchad</v>
      </c>
      <c r="C986">
        <v>32841982</v>
      </c>
      <c r="D986">
        <v>80000</v>
      </c>
    </row>
    <row r="987" spans="1:4" x14ac:dyDescent="0.25">
      <c r="A987" t="str">
        <f>T("720917")</f>
        <v>720917</v>
      </c>
      <c r="B987" t="str">
        <f>T("PRODUITS LAMINÉS PLATS, EN FER OU EN ACIERS NON-ALLIÉS, D'UNE LARGEUR &gt;= 600 MM, NON-PLAQUÉS NI REVÊTUS, ENROULÉS, SIMPL. LAMINÉS À FROID, D'UNE ÉPAISSEUR &gt;= 0,5 MM MAIS &lt;= 1 MM")</f>
        <v>PRODUITS LAMINÉS PLATS, EN FER OU EN ACIERS NON-ALLIÉS, D'UNE LARGEUR &gt;= 600 MM, NON-PLAQUÉS NI REVÊTUS, ENROULÉS, SIMPL. LAMINÉS À FROID, D'UNE ÉPAISSEUR &gt;= 0,5 MM MAIS &lt;= 1 MM</v>
      </c>
    </row>
    <row r="988" spans="1:4" x14ac:dyDescent="0.25">
      <c r="A988" t="str">
        <f>T("   ZZZ_Monde")</f>
        <v xml:space="preserve">   ZZZ_Monde</v>
      </c>
      <c r="B988" t="str">
        <f>T("   ZZZ_Monde")</f>
        <v xml:space="preserve">   ZZZ_Monde</v>
      </c>
      <c r="C988">
        <v>1246680096</v>
      </c>
      <c r="D988">
        <v>2936298</v>
      </c>
    </row>
    <row r="989" spans="1:4" x14ac:dyDescent="0.25">
      <c r="A989" t="str">
        <f>T("   BF")</f>
        <v xml:space="preserve">   BF</v>
      </c>
      <c r="B989" t="str">
        <f>T("   Burkina Faso")</f>
        <v xml:space="preserve">   Burkina Faso</v>
      </c>
      <c r="C989">
        <v>214312520</v>
      </c>
      <c r="D989">
        <v>582881</v>
      </c>
    </row>
    <row r="990" spans="1:4" x14ac:dyDescent="0.25">
      <c r="A990" t="str">
        <f>T("   ML")</f>
        <v xml:space="preserve">   ML</v>
      </c>
      <c r="B990" t="str">
        <f>T("   Mali")</f>
        <v xml:space="preserve">   Mali</v>
      </c>
      <c r="C990">
        <v>29846280</v>
      </c>
      <c r="D990">
        <v>84000</v>
      </c>
    </row>
    <row r="991" spans="1:4" x14ac:dyDescent="0.25">
      <c r="A991" t="str">
        <f>T("   NG")</f>
        <v xml:space="preserve">   NG</v>
      </c>
      <c r="B991" t="str">
        <f>T("   Nigéria")</f>
        <v xml:space="preserve">   Nigéria</v>
      </c>
      <c r="C991">
        <v>311604291</v>
      </c>
      <c r="D991">
        <v>733845</v>
      </c>
    </row>
    <row r="992" spans="1:4" x14ac:dyDescent="0.25">
      <c r="A992" t="str">
        <f>T("   TD")</f>
        <v xml:space="preserve">   TD</v>
      </c>
      <c r="B992" t="str">
        <f>T("   Tchad")</f>
        <v xml:space="preserve">   Tchad</v>
      </c>
      <c r="C992">
        <v>690917005</v>
      </c>
      <c r="D992">
        <v>1535572</v>
      </c>
    </row>
    <row r="993" spans="1:4" x14ac:dyDescent="0.25">
      <c r="A993" t="str">
        <f>T("720918")</f>
        <v>720918</v>
      </c>
      <c r="B993" t="str">
        <f>T("PRODUITS LAMINÉS PLATS, EN FER OU EN ACIERS NON-ALLIÉS, D'UNE LARGEUR &gt;= 600 MM, NON-PLAQUÉS NI REVÊTUS, ENROULÉS, SIMPL. LAMINÉS À FROID, D'UNE ÉPAISSEUR &lt; 0,5 MM")</f>
        <v>PRODUITS LAMINÉS PLATS, EN FER OU EN ACIERS NON-ALLIÉS, D'UNE LARGEUR &gt;= 600 MM, NON-PLAQUÉS NI REVÊTUS, ENROULÉS, SIMPL. LAMINÉS À FROID, D'UNE ÉPAISSEUR &lt; 0,5 MM</v>
      </c>
    </row>
    <row r="994" spans="1:4" x14ac:dyDescent="0.25">
      <c r="A994" t="str">
        <f>T("   ZZZ_Monde")</f>
        <v xml:space="preserve">   ZZZ_Monde</v>
      </c>
      <c r="B994" t="str">
        <f>T("   ZZZ_Monde")</f>
        <v xml:space="preserve">   ZZZ_Monde</v>
      </c>
      <c r="C994">
        <v>92007312</v>
      </c>
      <c r="D994">
        <v>229000</v>
      </c>
    </row>
    <row r="995" spans="1:4" x14ac:dyDescent="0.25">
      <c r="A995" t="str">
        <f>T("   TD")</f>
        <v xml:space="preserve">   TD</v>
      </c>
      <c r="B995" t="str">
        <f>T("   Tchad")</f>
        <v xml:space="preserve">   Tchad</v>
      </c>
      <c r="C995">
        <v>92007312</v>
      </c>
      <c r="D995">
        <v>229000</v>
      </c>
    </row>
    <row r="996" spans="1:4" x14ac:dyDescent="0.25">
      <c r="A996" t="str">
        <f>T("720990")</f>
        <v>720990</v>
      </c>
      <c r="B996" t="str">
        <f>T("PRODUITS LAMINÉS PLATS, EN FER OU EN ACIER, D'UNE LARGEUR &gt;= 600 MM, LAMINÉS À FROID ET AYANT SUBI CERTAINES OUVRAISONS PLUS POUSSÉES, MAIS NON-PLAQUÉS NI REVÊTUS")</f>
        <v>PRODUITS LAMINÉS PLATS, EN FER OU EN ACIER, D'UNE LARGEUR &gt;= 600 MM, LAMINÉS À FROID ET AYANT SUBI CERTAINES OUVRAISONS PLUS POUSSÉES, MAIS NON-PLAQUÉS NI REVÊTUS</v>
      </c>
    </row>
    <row r="997" spans="1:4" x14ac:dyDescent="0.25">
      <c r="A997" t="str">
        <f>T("   ZZZ_Monde")</f>
        <v xml:space="preserve">   ZZZ_Monde</v>
      </c>
      <c r="B997" t="str">
        <f>T("   ZZZ_Monde")</f>
        <v xml:space="preserve">   ZZZ_Monde</v>
      </c>
      <c r="C997">
        <v>208050361</v>
      </c>
      <c r="D997">
        <v>575000</v>
      </c>
    </row>
    <row r="998" spans="1:4" x14ac:dyDescent="0.25">
      <c r="A998" t="str">
        <f>T("   BF")</f>
        <v xml:space="preserve">   BF</v>
      </c>
      <c r="B998" t="str">
        <f>T("   Burkina Faso")</f>
        <v xml:space="preserve">   Burkina Faso</v>
      </c>
      <c r="C998">
        <v>76562425</v>
      </c>
      <c r="D998">
        <v>225000</v>
      </c>
    </row>
    <row r="999" spans="1:4" x14ac:dyDescent="0.25">
      <c r="A999" t="str">
        <f>T("   TD")</f>
        <v xml:space="preserve">   TD</v>
      </c>
      <c r="B999" t="str">
        <f>T("   Tchad")</f>
        <v xml:space="preserve">   Tchad</v>
      </c>
      <c r="C999">
        <v>131487936</v>
      </c>
      <c r="D999">
        <v>350000</v>
      </c>
    </row>
    <row r="1000" spans="1:4" x14ac:dyDescent="0.25">
      <c r="A1000" t="str">
        <f>T("721049")</f>
        <v>721049</v>
      </c>
      <c r="B1000" t="str">
        <f>T("Produits laminés plats, en fer ou en aciers non alliés, d'une largeur &gt;= 600 mm, laminés à chaud ou à froid, zingués, non ondulés (à l'excl. des produits zingués électrolytiquement)")</f>
        <v>Produits laminés plats, en fer ou en aciers non alliés, d'une largeur &gt;= 600 mm, laminés à chaud ou à froid, zingués, non ondulés (à l'excl. des produits zingués électrolytiquement)</v>
      </c>
    </row>
    <row r="1001" spans="1:4" x14ac:dyDescent="0.25">
      <c r="A1001" t="str">
        <f>T("   ZZZ_Monde")</f>
        <v xml:space="preserve">   ZZZ_Monde</v>
      </c>
      <c r="B1001" t="str">
        <f>T("   ZZZ_Monde")</f>
        <v xml:space="preserve">   ZZZ_Monde</v>
      </c>
      <c r="C1001">
        <v>581073024</v>
      </c>
      <c r="D1001">
        <v>1046394</v>
      </c>
    </row>
    <row r="1002" spans="1:4" x14ac:dyDescent="0.25">
      <c r="A1002" t="str">
        <f>T("   BF")</f>
        <v xml:space="preserve">   BF</v>
      </c>
      <c r="B1002" t="str">
        <f>T("   Burkina Faso")</f>
        <v xml:space="preserve">   Burkina Faso</v>
      </c>
      <c r="C1002">
        <v>88932827</v>
      </c>
      <c r="D1002">
        <v>154326</v>
      </c>
    </row>
    <row r="1003" spans="1:4" x14ac:dyDescent="0.25">
      <c r="A1003" t="str">
        <f>T("   ML")</f>
        <v xml:space="preserve">   ML</v>
      </c>
      <c r="B1003" t="str">
        <f>T("   Mali")</f>
        <v xml:space="preserve">   Mali</v>
      </c>
      <c r="C1003">
        <v>244729316</v>
      </c>
      <c r="D1003">
        <v>460374</v>
      </c>
    </row>
    <row r="1004" spans="1:4" x14ac:dyDescent="0.25">
      <c r="A1004" t="str">
        <f>T("   NG")</f>
        <v xml:space="preserve">   NG</v>
      </c>
      <c r="B1004" t="str">
        <f>T("   Nigéria")</f>
        <v xml:space="preserve">   Nigéria</v>
      </c>
      <c r="C1004">
        <v>232665481</v>
      </c>
      <c r="D1004">
        <v>406694</v>
      </c>
    </row>
    <row r="1005" spans="1:4" x14ac:dyDescent="0.25">
      <c r="A1005" t="str">
        <f>T("   TD")</f>
        <v xml:space="preserve">   TD</v>
      </c>
      <c r="B1005" t="str">
        <f>T("   Tchad")</f>
        <v xml:space="preserve">   Tchad</v>
      </c>
      <c r="C1005">
        <v>14745400</v>
      </c>
      <c r="D1005">
        <v>25000</v>
      </c>
    </row>
    <row r="1006" spans="1:4" x14ac:dyDescent="0.25">
      <c r="A1006" t="str">
        <f>T("721391")</f>
        <v>721391</v>
      </c>
      <c r="B1006" t="str">
        <f>T("FIL MACHINE EN FER OU ACIERS NON-ALLIÉS, ENROULÉ EN COURONNES IRRÉGULIÈRES, DE SECTION CIRCULAIRE DE DIAMÈTRE &lt; 14 MM (AUTRE QU'EN ACIERS DE DÉCOLLETAGE ET AUTRE QUE FIL MACHINE AVEC INDENTATIONS, BOURRELETS, CREUX OU RELIEFS OBTENUS LORS DU LAMINAGE)")</f>
        <v>FIL MACHINE EN FER OU ACIERS NON-ALLIÉS, ENROULÉ EN COURONNES IRRÉGULIÈRES, DE SECTION CIRCULAIRE DE DIAMÈTRE &lt; 14 MM (AUTRE QU'EN ACIERS DE DÉCOLLETAGE ET AUTRE QUE FIL MACHINE AVEC INDENTATIONS, BOURRELETS, CREUX OU RELIEFS OBTENUS LORS DU LAMINAGE)</v>
      </c>
    </row>
    <row r="1007" spans="1:4" x14ac:dyDescent="0.25">
      <c r="A1007" t="str">
        <f>T("   ZZZ_Monde")</f>
        <v xml:space="preserve">   ZZZ_Monde</v>
      </c>
      <c r="B1007" t="str">
        <f>T("   ZZZ_Monde")</f>
        <v xml:space="preserve">   ZZZ_Monde</v>
      </c>
      <c r="C1007">
        <v>6449851074</v>
      </c>
      <c r="D1007">
        <v>18697160</v>
      </c>
    </row>
    <row r="1008" spans="1:4" x14ac:dyDescent="0.25">
      <c r="A1008" t="str">
        <f>T("   CH")</f>
        <v xml:space="preserve">   CH</v>
      </c>
      <c r="B1008" t="str">
        <f>T("   Suisse")</f>
        <v xml:space="preserve">   Suisse</v>
      </c>
      <c r="C1008">
        <v>63444929</v>
      </c>
      <c r="D1008">
        <v>99160</v>
      </c>
    </row>
    <row r="1009" spans="1:4" x14ac:dyDescent="0.25">
      <c r="A1009" t="str">
        <f>T("   GQ")</f>
        <v xml:space="preserve">   GQ</v>
      </c>
      <c r="B1009" t="str">
        <f>T("   Guinée Equatoriale")</f>
        <v xml:space="preserve">   Guinée Equatoriale</v>
      </c>
      <c r="C1009">
        <v>16004134</v>
      </c>
      <c r="D1009">
        <v>55000</v>
      </c>
    </row>
    <row r="1010" spans="1:4" x14ac:dyDescent="0.25">
      <c r="A1010" t="str">
        <f>T("   NE")</f>
        <v xml:space="preserve">   NE</v>
      </c>
      <c r="B1010" t="str">
        <f>T("   Niger")</f>
        <v xml:space="preserve">   Niger</v>
      </c>
      <c r="C1010">
        <v>1487542404</v>
      </c>
      <c r="D1010">
        <v>4305000</v>
      </c>
    </row>
    <row r="1011" spans="1:4" x14ac:dyDescent="0.25">
      <c r="A1011" t="str">
        <f>T("   NG")</f>
        <v xml:space="preserve">   NG</v>
      </c>
      <c r="B1011" t="str">
        <f>T("   Nigéria")</f>
        <v xml:space="preserve">   Nigéria</v>
      </c>
      <c r="C1011">
        <v>110813655</v>
      </c>
      <c r="D1011">
        <v>345000</v>
      </c>
    </row>
    <row r="1012" spans="1:4" x14ac:dyDescent="0.25">
      <c r="A1012" t="str">
        <f>T("   TD")</f>
        <v xml:space="preserve">   TD</v>
      </c>
      <c r="B1012" t="str">
        <f>T("   Tchad")</f>
        <v xml:space="preserve">   Tchad</v>
      </c>
      <c r="C1012">
        <v>4772045952</v>
      </c>
      <c r="D1012">
        <v>13893000</v>
      </c>
    </row>
    <row r="1013" spans="1:4" x14ac:dyDescent="0.25">
      <c r="A1013" t="str">
        <f>T("721399")</f>
        <v>721399</v>
      </c>
      <c r="B1013" t="str">
        <f>T("FIL MACHINE EN FER OU ACIERS NON-ALLIÉS, ENROULÉ EN COURONNES IRRÉGULIÈRES (AUTRE QUE DE SECTION CIRCULAIRE DE DIAMÈTRE &lt; 14 MM, AUTRE QUE FIL MACHINE EN ACIERS DE DÉCOLLETAGE, OU AVEC INDENTATIONS, BOURRELETS, CREUX OU RELIEFS OBTENUS LORS DU LAMINAGE)")</f>
        <v>FIL MACHINE EN FER OU ACIERS NON-ALLIÉS, ENROULÉ EN COURONNES IRRÉGULIÈRES (AUTRE QUE DE SECTION CIRCULAIRE DE DIAMÈTRE &lt; 14 MM, AUTRE QUE FIL MACHINE EN ACIERS DE DÉCOLLETAGE, OU AVEC INDENTATIONS, BOURRELETS, CREUX OU RELIEFS OBTENUS LORS DU LAMINAGE)</v>
      </c>
    </row>
    <row r="1014" spans="1:4" x14ac:dyDescent="0.25">
      <c r="A1014" t="str">
        <f>T("   ZZZ_Monde")</f>
        <v xml:space="preserve">   ZZZ_Monde</v>
      </c>
      <c r="B1014" t="str">
        <f>T("   ZZZ_Monde")</f>
        <v xml:space="preserve">   ZZZ_Monde</v>
      </c>
      <c r="C1014">
        <v>5965391921</v>
      </c>
      <c r="D1014">
        <v>16379000</v>
      </c>
    </row>
    <row r="1015" spans="1:4" x14ac:dyDescent="0.25">
      <c r="A1015" t="str">
        <f>T("   NE")</f>
        <v xml:space="preserve">   NE</v>
      </c>
      <c r="B1015" t="str">
        <f>T("   Niger")</f>
        <v xml:space="preserve">   Niger</v>
      </c>
      <c r="C1015">
        <v>879482388</v>
      </c>
      <c r="D1015">
        <v>2570000</v>
      </c>
    </row>
    <row r="1016" spans="1:4" x14ac:dyDescent="0.25">
      <c r="A1016" t="str">
        <f>T("   NG")</f>
        <v xml:space="preserve">   NG</v>
      </c>
      <c r="B1016" t="str">
        <f>T("   Nigéria")</f>
        <v xml:space="preserve">   Nigéria</v>
      </c>
      <c r="C1016">
        <v>118129366</v>
      </c>
      <c r="D1016">
        <v>340000</v>
      </c>
    </row>
    <row r="1017" spans="1:4" x14ac:dyDescent="0.25">
      <c r="A1017" t="str">
        <f>T("   TD")</f>
        <v xml:space="preserve">   TD</v>
      </c>
      <c r="B1017" t="str">
        <f>T("   Tchad")</f>
        <v xml:space="preserve">   Tchad</v>
      </c>
      <c r="C1017">
        <v>4967780167</v>
      </c>
      <c r="D1017">
        <v>13469000</v>
      </c>
    </row>
    <row r="1018" spans="1:4" x14ac:dyDescent="0.25">
      <c r="A1018" t="str">
        <f>T("721420")</f>
        <v>721420</v>
      </c>
      <c r="B1018" t="str">
        <f>T("BARRES EN FER OU EN ACIERS NON ALLIÉS, COMPORTANT DES INDENTATIONS, BOURRELETS, CREUX OU RELIEFS OBTENUS AU COURS DU LAMINAGE OU AYANT SUBI UNE TORSION APRÈS LAMINAGE")</f>
        <v>BARRES EN FER OU EN ACIERS NON ALLIÉS, COMPORTANT DES INDENTATIONS, BOURRELETS, CREUX OU RELIEFS OBTENUS AU COURS DU LAMINAGE OU AYANT SUBI UNE TORSION APRÈS LAMINAGE</v>
      </c>
    </row>
    <row r="1019" spans="1:4" x14ac:dyDescent="0.25">
      <c r="A1019" t="str">
        <f>T("   ZZZ_Monde")</f>
        <v xml:space="preserve">   ZZZ_Monde</v>
      </c>
      <c r="B1019" t="str">
        <f>T("   ZZZ_Monde")</f>
        <v xml:space="preserve">   ZZZ_Monde</v>
      </c>
      <c r="C1019">
        <v>7260791068</v>
      </c>
      <c r="D1019">
        <v>18609933</v>
      </c>
    </row>
    <row r="1020" spans="1:4" x14ac:dyDescent="0.25">
      <c r="A1020" t="str">
        <f>T("   CH")</f>
        <v xml:space="preserve">   CH</v>
      </c>
      <c r="B1020" t="str">
        <f>T("   Suisse")</f>
        <v xml:space="preserve">   Suisse</v>
      </c>
      <c r="C1020">
        <v>2078530</v>
      </c>
      <c r="D1020">
        <v>2933</v>
      </c>
    </row>
    <row r="1021" spans="1:4" x14ac:dyDescent="0.25">
      <c r="A1021" t="str">
        <f>T("   GQ")</f>
        <v xml:space="preserve">   GQ</v>
      </c>
      <c r="B1021" t="str">
        <f>T("   Guinée Equatoriale")</f>
        <v xml:space="preserve">   Guinée Equatoriale</v>
      </c>
      <c r="C1021">
        <v>29202349</v>
      </c>
      <c r="D1021">
        <v>53000</v>
      </c>
    </row>
    <row r="1022" spans="1:4" x14ac:dyDescent="0.25">
      <c r="A1022" t="str">
        <f>T("   NE")</f>
        <v xml:space="preserve">   NE</v>
      </c>
      <c r="B1022" t="str">
        <f>T("   Niger")</f>
        <v xml:space="preserve">   Niger</v>
      </c>
      <c r="C1022">
        <v>1462462180</v>
      </c>
      <c r="D1022">
        <v>4366000</v>
      </c>
    </row>
    <row r="1023" spans="1:4" x14ac:dyDescent="0.25">
      <c r="A1023" t="str">
        <f>T("   NG")</f>
        <v xml:space="preserve">   NG</v>
      </c>
      <c r="B1023" t="str">
        <f>T("   Nigéria")</f>
        <v xml:space="preserve">   Nigéria</v>
      </c>
      <c r="C1023">
        <v>44250007</v>
      </c>
      <c r="D1023">
        <v>195000</v>
      </c>
    </row>
    <row r="1024" spans="1:4" x14ac:dyDescent="0.25">
      <c r="A1024" t="str">
        <f>T("   TD")</f>
        <v xml:space="preserve">   TD</v>
      </c>
      <c r="B1024" t="str">
        <f>T("   Tchad")</f>
        <v xml:space="preserve">   Tchad</v>
      </c>
      <c r="C1024">
        <v>5722798002</v>
      </c>
      <c r="D1024">
        <v>13993000</v>
      </c>
    </row>
    <row r="1025" spans="1:4" x14ac:dyDescent="0.25">
      <c r="A1025" t="str">
        <f>T("721590")</f>
        <v>721590</v>
      </c>
      <c r="B1025" t="str">
        <f>T("Barres en fer ou en aciers non alliés, obtenues ou parachevées à froid et ayant subi certaines ouvraisons plus poussées ou obtenues à chaud et ayant subi certaines ouvraisons plus poussées, n.d.a.")</f>
        <v>Barres en fer ou en aciers non alliés, obtenues ou parachevées à froid et ayant subi certaines ouvraisons plus poussées ou obtenues à chaud et ayant subi certaines ouvraisons plus poussées, n.d.a.</v>
      </c>
    </row>
    <row r="1026" spans="1:4" x14ac:dyDescent="0.25">
      <c r="A1026" t="str">
        <f>T("   ZZZ_Monde")</f>
        <v xml:space="preserve">   ZZZ_Monde</v>
      </c>
      <c r="B1026" t="str">
        <f>T("   ZZZ_Monde")</f>
        <v xml:space="preserve">   ZZZ_Monde</v>
      </c>
      <c r="C1026">
        <v>3066254992</v>
      </c>
      <c r="D1026">
        <v>11813996.1</v>
      </c>
    </row>
    <row r="1027" spans="1:4" x14ac:dyDescent="0.25">
      <c r="A1027" t="str">
        <f>T("   NE")</f>
        <v xml:space="preserve">   NE</v>
      </c>
      <c r="B1027" t="str">
        <f>T("   Niger")</f>
        <v xml:space="preserve">   Niger</v>
      </c>
      <c r="C1027">
        <v>2095384901</v>
      </c>
      <c r="D1027">
        <v>9334996.0999999996</v>
      </c>
    </row>
    <row r="1028" spans="1:4" x14ac:dyDescent="0.25">
      <c r="A1028" t="str">
        <f>T("   NG")</f>
        <v xml:space="preserve">   NG</v>
      </c>
      <c r="B1028" t="str">
        <f>T("   Nigéria")</f>
        <v xml:space="preserve">   Nigéria</v>
      </c>
      <c r="C1028">
        <v>50265946</v>
      </c>
      <c r="D1028">
        <v>150000</v>
      </c>
    </row>
    <row r="1029" spans="1:4" x14ac:dyDescent="0.25">
      <c r="A1029" t="str">
        <f>T("   TD")</f>
        <v xml:space="preserve">   TD</v>
      </c>
      <c r="B1029" t="str">
        <f>T("   Tchad")</f>
        <v xml:space="preserve">   Tchad</v>
      </c>
      <c r="C1029">
        <v>920604145</v>
      </c>
      <c r="D1029">
        <v>2329000</v>
      </c>
    </row>
    <row r="1030" spans="1:4" x14ac:dyDescent="0.25">
      <c r="A1030" t="str">
        <f>T("721610")</f>
        <v>721610</v>
      </c>
      <c r="B1030" t="str">
        <f>T("PROFILÉS U, I OU H EN FER OU EN ACIERS NON ALLIÉS, SIMPLEMENT LAMINÉS OU FILÉS À CHAUD, HAUTEUR &lt; 80 MM")</f>
        <v>PROFILÉS U, I OU H EN FER OU EN ACIERS NON ALLIÉS, SIMPLEMENT LAMINÉS OU FILÉS À CHAUD, HAUTEUR &lt; 80 MM</v>
      </c>
    </row>
    <row r="1031" spans="1:4" x14ac:dyDescent="0.25">
      <c r="A1031" t="str">
        <f>T("   ZZZ_Monde")</f>
        <v xml:space="preserve">   ZZZ_Monde</v>
      </c>
      <c r="B1031" t="str">
        <f>T("   ZZZ_Monde")</f>
        <v xml:space="preserve">   ZZZ_Monde</v>
      </c>
      <c r="C1031">
        <v>117516992</v>
      </c>
      <c r="D1031">
        <v>212000</v>
      </c>
    </row>
    <row r="1032" spans="1:4" x14ac:dyDescent="0.25">
      <c r="A1032" t="str">
        <f>T("   TD")</f>
        <v xml:space="preserve">   TD</v>
      </c>
      <c r="B1032" t="str">
        <f>T("   Tchad")</f>
        <v xml:space="preserve">   Tchad</v>
      </c>
      <c r="C1032">
        <v>117516992</v>
      </c>
      <c r="D1032">
        <v>212000</v>
      </c>
    </row>
    <row r="1033" spans="1:4" x14ac:dyDescent="0.25">
      <c r="A1033" t="str">
        <f>T("721631")</f>
        <v>721631</v>
      </c>
      <c r="B1033" t="str">
        <f>T("PROFILÉS EN U, EN FER OU EN ACIERS NON-ALLIÉS, SIMPL. LAMINÉS OU FILÉS À CHAUD, D'UNE HAUTEUR &gt;= 80 MM")</f>
        <v>PROFILÉS EN U, EN FER OU EN ACIERS NON-ALLIÉS, SIMPL. LAMINÉS OU FILÉS À CHAUD, D'UNE HAUTEUR &gt;= 80 MM</v>
      </c>
    </row>
    <row r="1034" spans="1:4" x14ac:dyDescent="0.25">
      <c r="A1034" t="str">
        <f>T("   ZZZ_Monde")</f>
        <v xml:space="preserve">   ZZZ_Monde</v>
      </c>
      <c r="B1034" t="str">
        <f>T("   ZZZ_Monde")</f>
        <v xml:space="preserve">   ZZZ_Monde</v>
      </c>
      <c r="C1034">
        <v>137132962</v>
      </c>
      <c r="D1034">
        <v>258000</v>
      </c>
    </row>
    <row r="1035" spans="1:4" x14ac:dyDescent="0.25">
      <c r="A1035" t="str">
        <f>T("   TD")</f>
        <v xml:space="preserve">   TD</v>
      </c>
      <c r="B1035" t="str">
        <f>T("   Tchad")</f>
        <v xml:space="preserve">   Tchad</v>
      </c>
      <c r="C1035">
        <v>137132962</v>
      </c>
      <c r="D1035">
        <v>258000</v>
      </c>
    </row>
    <row r="1036" spans="1:4" x14ac:dyDescent="0.25">
      <c r="A1036" t="str">
        <f>T("721633")</f>
        <v>721633</v>
      </c>
      <c r="B1036" t="str">
        <f>T("PROFILÉS EN H, EN FER OU EN ACIERS NON-ALLIÉS, SIMPL. LAMINÉS OU FILÉS À CHAUD, D'UNE HAUTEUR &gt;= 80 MM")</f>
        <v>PROFILÉS EN H, EN FER OU EN ACIERS NON-ALLIÉS, SIMPL. LAMINÉS OU FILÉS À CHAUD, D'UNE HAUTEUR &gt;= 80 MM</v>
      </c>
    </row>
    <row r="1037" spans="1:4" x14ac:dyDescent="0.25">
      <c r="A1037" t="str">
        <f>T("   ZZZ_Monde")</f>
        <v xml:space="preserve">   ZZZ_Monde</v>
      </c>
      <c r="B1037" t="str">
        <f>T("   ZZZ_Monde")</f>
        <v xml:space="preserve">   ZZZ_Monde</v>
      </c>
      <c r="C1037">
        <v>324049732</v>
      </c>
      <c r="D1037">
        <v>615000</v>
      </c>
    </row>
    <row r="1038" spans="1:4" x14ac:dyDescent="0.25">
      <c r="A1038" t="str">
        <f>T("   TD")</f>
        <v xml:space="preserve">   TD</v>
      </c>
      <c r="B1038" t="str">
        <f>T("   Tchad")</f>
        <v xml:space="preserve">   Tchad</v>
      </c>
      <c r="C1038">
        <v>324049732</v>
      </c>
      <c r="D1038">
        <v>615000</v>
      </c>
    </row>
    <row r="1039" spans="1:4" x14ac:dyDescent="0.25">
      <c r="A1039" t="str">
        <f>T("721650")</f>
        <v>721650</v>
      </c>
      <c r="B1039" t="str">
        <f>T("PROFILÉS, EN FER OU EN ACIERS NON-ALLIÉS, SIMPL. LAMINÉS OU FILÉS À CHAUD (À L'EXCL. DES PROFILÉS EN U, EN I, EN H, EN L OU EN T)")</f>
        <v>PROFILÉS, EN FER OU EN ACIERS NON-ALLIÉS, SIMPL. LAMINÉS OU FILÉS À CHAUD (À L'EXCL. DES PROFILÉS EN U, EN I, EN H, EN L OU EN T)</v>
      </c>
    </row>
    <row r="1040" spans="1:4" x14ac:dyDescent="0.25">
      <c r="A1040" t="str">
        <f>T("   ZZZ_Monde")</f>
        <v xml:space="preserve">   ZZZ_Monde</v>
      </c>
      <c r="B1040" t="str">
        <f>T("   ZZZ_Monde")</f>
        <v xml:space="preserve">   ZZZ_Monde</v>
      </c>
      <c r="C1040">
        <v>10080027</v>
      </c>
      <c r="D1040">
        <v>24000</v>
      </c>
    </row>
    <row r="1041" spans="1:4" x14ac:dyDescent="0.25">
      <c r="A1041" t="str">
        <f>T("   TD")</f>
        <v xml:space="preserve">   TD</v>
      </c>
      <c r="B1041" t="str">
        <f>T("   Tchad")</f>
        <v xml:space="preserve">   Tchad</v>
      </c>
      <c r="C1041">
        <v>10080027</v>
      </c>
      <c r="D1041">
        <v>24000</v>
      </c>
    </row>
    <row r="1042" spans="1:4" x14ac:dyDescent="0.25">
      <c r="A1042" t="str">
        <f>T("721661")</f>
        <v>721661</v>
      </c>
      <c r="B1042" t="str">
        <f>T("PROFILÉS EN FER OU ACIERS NON-ALLIÉS, SIMPL. OBTENUS À FROID À PARTIR DE PRODUITS LAMINÉS PLATS (À L'EXCL. DES TÔLES NERVURÉES)")</f>
        <v>PROFILÉS EN FER OU ACIERS NON-ALLIÉS, SIMPL. OBTENUS À FROID À PARTIR DE PRODUITS LAMINÉS PLATS (À L'EXCL. DES TÔLES NERVURÉES)</v>
      </c>
    </row>
    <row r="1043" spans="1:4" x14ac:dyDescent="0.25">
      <c r="A1043" t="str">
        <f>T("   ZZZ_Monde")</f>
        <v xml:space="preserve">   ZZZ_Monde</v>
      </c>
      <c r="B1043" t="str">
        <f>T("   ZZZ_Monde")</f>
        <v xml:space="preserve">   ZZZ_Monde</v>
      </c>
      <c r="C1043">
        <v>184553864</v>
      </c>
      <c r="D1043">
        <v>329000</v>
      </c>
    </row>
    <row r="1044" spans="1:4" x14ac:dyDescent="0.25">
      <c r="A1044" t="str">
        <f>T("   NG")</f>
        <v xml:space="preserve">   NG</v>
      </c>
      <c r="B1044" t="str">
        <f>T("   Nigéria")</f>
        <v xml:space="preserve">   Nigéria</v>
      </c>
      <c r="C1044">
        <v>44174943</v>
      </c>
      <c r="D1044">
        <v>93000</v>
      </c>
    </row>
    <row r="1045" spans="1:4" x14ac:dyDescent="0.25">
      <c r="A1045" t="str">
        <f>T("   TD")</f>
        <v xml:space="preserve">   TD</v>
      </c>
      <c r="B1045" t="str">
        <f>T("   Tchad")</f>
        <v xml:space="preserve">   Tchad</v>
      </c>
      <c r="C1045">
        <v>140378921</v>
      </c>
      <c r="D1045">
        <v>236000</v>
      </c>
    </row>
    <row r="1046" spans="1:4" x14ac:dyDescent="0.25">
      <c r="A1046" t="str">
        <f>T("721669")</f>
        <v>721669</v>
      </c>
      <c r="B1046" t="str">
        <f>T("Profilés en fer ou en aciers non alliés, simplement obtenus ou parachevés à froid (à l'excl. des profilés obtenus à partir de produits laminés plats et des tôles nervurées)")</f>
        <v>Profilés en fer ou en aciers non alliés, simplement obtenus ou parachevés à froid (à l'excl. des profilés obtenus à partir de produits laminés plats et des tôles nervurées)</v>
      </c>
    </row>
    <row r="1047" spans="1:4" x14ac:dyDescent="0.25">
      <c r="A1047" t="str">
        <f>T("   ZZZ_Monde")</f>
        <v xml:space="preserve">   ZZZ_Monde</v>
      </c>
      <c r="B1047" t="str">
        <f>T("   ZZZ_Monde")</f>
        <v xml:space="preserve">   ZZZ_Monde</v>
      </c>
      <c r="C1047">
        <v>976684136</v>
      </c>
      <c r="D1047">
        <v>2076261.8</v>
      </c>
    </row>
    <row r="1048" spans="1:4" x14ac:dyDescent="0.25">
      <c r="A1048" t="str">
        <f>T("   NG")</f>
        <v xml:space="preserve">   NG</v>
      </c>
      <c r="B1048" t="str">
        <f>T("   Nigéria")</f>
        <v xml:space="preserve">   Nigéria</v>
      </c>
      <c r="C1048">
        <v>520537579</v>
      </c>
      <c r="D1048">
        <v>1163261.8</v>
      </c>
    </row>
    <row r="1049" spans="1:4" x14ac:dyDescent="0.25">
      <c r="A1049" t="str">
        <f>T("   TD")</f>
        <v xml:space="preserve">   TD</v>
      </c>
      <c r="B1049" t="str">
        <f>T("   Tchad")</f>
        <v xml:space="preserve">   Tchad</v>
      </c>
      <c r="C1049">
        <v>456146557</v>
      </c>
      <c r="D1049">
        <v>913000</v>
      </c>
    </row>
    <row r="1050" spans="1:4" x14ac:dyDescent="0.25">
      <c r="A1050" t="str">
        <f>T("721790")</f>
        <v>721790</v>
      </c>
      <c r="B1050" t="str">
        <f>T("FILS EN FER OU EN ACIERS NON-ALLIÉS, ENROULÉS, REVÊTUS (À L'EXCL. DU FIL MACHINE AINSI QUE DES FILS REVÊTUS DE MÉTAUX COMMUNS)")</f>
        <v>FILS EN FER OU EN ACIERS NON-ALLIÉS, ENROULÉS, REVÊTUS (À L'EXCL. DU FIL MACHINE AINSI QUE DES FILS REVÊTUS DE MÉTAUX COMMUNS)</v>
      </c>
    </row>
    <row r="1051" spans="1:4" x14ac:dyDescent="0.25">
      <c r="A1051" t="str">
        <f>T("   ZZZ_Monde")</f>
        <v xml:space="preserve">   ZZZ_Monde</v>
      </c>
      <c r="B1051" t="str">
        <f>T("   ZZZ_Monde")</f>
        <v xml:space="preserve">   ZZZ_Monde</v>
      </c>
      <c r="C1051">
        <v>28037160</v>
      </c>
      <c r="D1051">
        <v>71000</v>
      </c>
    </row>
    <row r="1052" spans="1:4" x14ac:dyDescent="0.25">
      <c r="A1052" t="str">
        <f>T("   NE")</f>
        <v xml:space="preserve">   NE</v>
      </c>
      <c r="B1052" t="str">
        <f>T("   Niger")</f>
        <v xml:space="preserve">   Niger</v>
      </c>
      <c r="C1052">
        <v>7900000</v>
      </c>
      <c r="D1052">
        <v>35000</v>
      </c>
    </row>
    <row r="1053" spans="1:4" x14ac:dyDescent="0.25">
      <c r="A1053" t="str">
        <f>T("   TD")</f>
        <v xml:space="preserve">   TD</v>
      </c>
      <c r="B1053" t="str">
        <f>T("   Tchad")</f>
        <v xml:space="preserve">   Tchad</v>
      </c>
      <c r="C1053">
        <v>20137160</v>
      </c>
      <c r="D1053">
        <v>36000</v>
      </c>
    </row>
    <row r="1054" spans="1:4" x14ac:dyDescent="0.25">
      <c r="A1054" t="str">
        <f>T("730300")</f>
        <v>730300</v>
      </c>
      <c r="B1054" t="str">
        <f>T("Tubes, tuyaux et profilés creux, en fonte")</f>
        <v>Tubes, tuyaux et profilés creux, en fonte</v>
      </c>
    </row>
    <row r="1055" spans="1:4" x14ac:dyDescent="0.25">
      <c r="A1055" t="str">
        <f>T("   ZZZ_Monde")</f>
        <v xml:space="preserve">   ZZZ_Monde</v>
      </c>
      <c r="B1055" t="str">
        <f>T("   ZZZ_Monde")</f>
        <v xml:space="preserve">   ZZZ_Monde</v>
      </c>
      <c r="C1055">
        <v>1150000</v>
      </c>
      <c r="D1055">
        <v>2000</v>
      </c>
    </row>
    <row r="1056" spans="1:4" x14ac:dyDescent="0.25">
      <c r="A1056" t="str">
        <f>T("   TG")</f>
        <v xml:space="preserve">   TG</v>
      </c>
      <c r="B1056" t="str">
        <f>T("   Togo")</f>
        <v xml:space="preserve">   Togo</v>
      </c>
      <c r="C1056">
        <v>1150000</v>
      </c>
      <c r="D1056">
        <v>2000</v>
      </c>
    </row>
    <row r="1057" spans="1:4" x14ac:dyDescent="0.25">
      <c r="A1057" t="str">
        <f>T("730490")</f>
        <v>730490</v>
      </c>
      <c r="B1057" t="str">
        <f>T("Tubes, tuyaux et profilés creux, sans soudure, de section autre que circulaire, en fer (à l'excl. de la fonte) ou en acier")</f>
        <v>Tubes, tuyaux et profilés creux, sans soudure, de section autre que circulaire, en fer (à l'excl. de la fonte) ou en acier</v>
      </c>
    </row>
    <row r="1058" spans="1:4" x14ac:dyDescent="0.25">
      <c r="A1058" t="str">
        <f>T("   ZZZ_Monde")</f>
        <v xml:space="preserve">   ZZZ_Monde</v>
      </c>
      <c r="B1058" t="str">
        <f>T("   ZZZ_Monde")</f>
        <v xml:space="preserve">   ZZZ_Monde</v>
      </c>
      <c r="C1058">
        <v>17790291</v>
      </c>
      <c r="D1058">
        <v>105000</v>
      </c>
    </row>
    <row r="1059" spans="1:4" x14ac:dyDescent="0.25">
      <c r="A1059" t="str">
        <f>T("   BF")</f>
        <v xml:space="preserve">   BF</v>
      </c>
      <c r="B1059" t="str">
        <f>T("   Burkina Faso")</f>
        <v xml:space="preserve">   Burkina Faso</v>
      </c>
      <c r="C1059">
        <v>17790291</v>
      </c>
      <c r="D1059">
        <v>105000</v>
      </c>
    </row>
    <row r="1060" spans="1:4" x14ac:dyDescent="0.25">
      <c r="A1060" t="str">
        <f>T("730690")</f>
        <v>730690</v>
      </c>
      <c r="B1060" t="str">
        <f>T("Tubes, tuyaux et profilés creux [p.ex. rivés, agrafés ou à bords simplement rapprochés], en fer ou en acier (sauf tubes sans soudure ou soudés et tubes de sections intérieure et extérieure circulaires et d'un diamètre extérieur &gt; 406,4 mm)")</f>
        <v>Tubes, tuyaux et profilés creux [p.ex. rivés, agrafés ou à bords simplement rapprochés], en fer ou en acier (sauf tubes sans soudure ou soudés et tubes de sections intérieure et extérieure circulaires et d'un diamètre extérieur &gt; 406,4 mm)</v>
      </c>
    </row>
    <row r="1061" spans="1:4" x14ac:dyDescent="0.25">
      <c r="A1061" t="str">
        <f>T("   ZZZ_Monde")</f>
        <v xml:space="preserve">   ZZZ_Monde</v>
      </c>
      <c r="B1061" t="str">
        <f>T("   ZZZ_Monde")</f>
        <v xml:space="preserve">   ZZZ_Monde</v>
      </c>
      <c r="C1061">
        <v>5000000</v>
      </c>
      <c r="D1061">
        <v>10000</v>
      </c>
    </row>
    <row r="1062" spans="1:4" x14ac:dyDescent="0.25">
      <c r="A1062" t="str">
        <f>T("   CI")</f>
        <v xml:space="preserve">   CI</v>
      </c>
      <c r="B1062" t="str">
        <f>T("   Côte d'Ivoire")</f>
        <v xml:space="preserve">   Côte d'Ivoire</v>
      </c>
      <c r="C1062">
        <v>5000000</v>
      </c>
      <c r="D1062">
        <v>10000</v>
      </c>
    </row>
    <row r="1063" spans="1:4" x14ac:dyDescent="0.25">
      <c r="A1063" t="str">
        <f>T("730799")</f>
        <v>730799</v>
      </c>
      <c r="B1063" t="str">
        <f>T("Accessoires de tuyauterie, en fer ou aciers (autres que moulés ou en aciers inoxydables; sauf brides; coudes, courbes et manchons, filetés et sauf accessoires à souder bout à bout)")</f>
        <v>Accessoires de tuyauterie, en fer ou aciers (autres que moulés ou en aciers inoxydables; sauf brides; coudes, courbes et manchons, filetés et sauf accessoires à souder bout à bout)</v>
      </c>
    </row>
    <row r="1064" spans="1:4" x14ac:dyDescent="0.25">
      <c r="A1064" t="str">
        <f>T("   ZZZ_Monde")</f>
        <v xml:space="preserve">   ZZZ_Monde</v>
      </c>
      <c r="B1064" t="str">
        <f>T("   ZZZ_Monde")</f>
        <v xml:space="preserve">   ZZZ_Monde</v>
      </c>
      <c r="C1064">
        <v>886672</v>
      </c>
      <c r="D1064">
        <v>1087</v>
      </c>
    </row>
    <row r="1065" spans="1:4" x14ac:dyDescent="0.25">
      <c r="A1065" t="str">
        <f>T("   GH")</f>
        <v xml:space="preserve">   GH</v>
      </c>
      <c r="B1065" t="str">
        <f>T("   Ghana")</f>
        <v xml:space="preserve">   Ghana</v>
      </c>
      <c r="C1065">
        <v>886672</v>
      </c>
      <c r="D1065">
        <v>1087</v>
      </c>
    </row>
    <row r="1066" spans="1:4" x14ac:dyDescent="0.25">
      <c r="A1066" t="str">
        <f>T("730840")</f>
        <v>730840</v>
      </c>
      <c r="B1066" t="str">
        <f>T("Matériel d'échafaudage, de coffrage ou d'étayage, en fer ou en acier (autre que palplanches assemblées et coffrages pour béton, qui présentent les caractéristiques de moules)")</f>
        <v>Matériel d'échafaudage, de coffrage ou d'étayage, en fer ou en acier (autre que palplanches assemblées et coffrages pour béton, qui présentent les caractéristiques de moules)</v>
      </c>
    </row>
    <row r="1067" spans="1:4" x14ac:dyDescent="0.25">
      <c r="A1067" t="str">
        <f>T("   ZZZ_Monde")</f>
        <v xml:space="preserve">   ZZZ_Monde</v>
      </c>
      <c r="B1067" t="str">
        <f>T("   ZZZ_Monde")</f>
        <v xml:space="preserve">   ZZZ_Monde</v>
      </c>
      <c r="C1067">
        <v>720000</v>
      </c>
      <c r="D1067">
        <v>4800</v>
      </c>
    </row>
    <row r="1068" spans="1:4" x14ac:dyDescent="0.25">
      <c r="A1068" t="str">
        <f>T("   TG")</f>
        <v xml:space="preserve">   TG</v>
      </c>
      <c r="B1068" t="str">
        <f>T("   Togo")</f>
        <v xml:space="preserve">   Togo</v>
      </c>
      <c r="C1068">
        <v>720000</v>
      </c>
      <c r="D1068">
        <v>4800</v>
      </c>
    </row>
    <row r="1069" spans="1:4" x14ac:dyDescent="0.25">
      <c r="A1069" t="str">
        <f>T("730890")</f>
        <v>730890</v>
      </c>
      <c r="B1069" t="str">
        <f>T("Constructions et parties de constructions, en fonte, fer ou acier, n.d.a. (à l'excl. des ponts et éléments de ponts, tours et pylônes, portes et fenêtres et leurs cadres, chambranles et seuils, et à l'excl. du matériel d'échafaudage, de coffrage et d'étay")</f>
        <v>Constructions et parties de constructions, en fonte, fer ou acier, n.d.a. (à l'excl. des ponts et éléments de ponts, tours et pylônes, portes et fenêtres et leurs cadres, chambranles et seuils, et à l'excl. du matériel d'échafaudage, de coffrage et d'étay</v>
      </c>
    </row>
    <row r="1070" spans="1:4" x14ac:dyDescent="0.25">
      <c r="A1070" t="str">
        <f>T("   ZZZ_Monde")</f>
        <v xml:space="preserve">   ZZZ_Monde</v>
      </c>
      <c r="B1070" t="str">
        <f>T("   ZZZ_Monde")</f>
        <v xml:space="preserve">   ZZZ_Monde</v>
      </c>
      <c r="C1070">
        <v>8009928</v>
      </c>
      <c r="D1070">
        <v>21000</v>
      </c>
    </row>
    <row r="1071" spans="1:4" x14ac:dyDescent="0.25">
      <c r="A1071" t="str">
        <f>T("   BF")</f>
        <v xml:space="preserve">   BF</v>
      </c>
      <c r="B1071" t="str">
        <f>T("   Burkina Faso")</f>
        <v xml:space="preserve">   Burkina Faso</v>
      </c>
      <c r="C1071">
        <v>8009928</v>
      </c>
      <c r="D1071">
        <v>21000</v>
      </c>
    </row>
    <row r="1072" spans="1:4" x14ac:dyDescent="0.25">
      <c r="A1072" t="str">
        <f>T("731021")</f>
        <v>731021</v>
      </c>
      <c r="B1072" t="str">
        <f>T("Boîtes en fer ou en acier, contenance &lt; 50 l, à fermer par soudage ou sertissage (sauf pour gaz comprimés ou liquéfiés)")</f>
        <v>Boîtes en fer ou en acier, contenance &lt; 50 l, à fermer par soudage ou sertissage (sauf pour gaz comprimés ou liquéfiés)</v>
      </c>
    </row>
    <row r="1073" spans="1:4" x14ac:dyDescent="0.25">
      <c r="A1073" t="str">
        <f>T("   ZZZ_Monde")</f>
        <v xml:space="preserve">   ZZZ_Monde</v>
      </c>
      <c r="B1073" t="str">
        <f>T("   ZZZ_Monde")</f>
        <v xml:space="preserve">   ZZZ_Monde</v>
      </c>
      <c r="C1073">
        <v>83538520</v>
      </c>
      <c r="D1073">
        <v>229721</v>
      </c>
    </row>
    <row r="1074" spans="1:4" x14ac:dyDescent="0.25">
      <c r="A1074" t="str">
        <f>T("   BF")</f>
        <v xml:space="preserve">   BF</v>
      </c>
      <c r="B1074" t="str">
        <f>T("   Burkina Faso")</f>
        <v xml:space="preserve">   Burkina Faso</v>
      </c>
      <c r="C1074">
        <v>18540424</v>
      </c>
      <c r="D1074">
        <v>49964</v>
      </c>
    </row>
    <row r="1075" spans="1:4" x14ac:dyDescent="0.25">
      <c r="A1075" t="str">
        <f>T("   GH")</f>
        <v xml:space="preserve">   GH</v>
      </c>
      <c r="B1075" t="str">
        <f>T("   Ghana")</f>
        <v xml:space="preserve">   Ghana</v>
      </c>
      <c r="C1075">
        <v>2436573</v>
      </c>
      <c r="D1075">
        <v>5147</v>
      </c>
    </row>
    <row r="1076" spans="1:4" x14ac:dyDescent="0.25">
      <c r="A1076" t="str">
        <f>T("   ML")</f>
        <v xml:space="preserve">   ML</v>
      </c>
      <c r="B1076" t="str">
        <f>T("   Mali")</f>
        <v xml:space="preserve">   Mali</v>
      </c>
      <c r="C1076">
        <v>36389057</v>
      </c>
      <c r="D1076">
        <v>103914.5</v>
      </c>
    </row>
    <row r="1077" spans="1:4" x14ac:dyDescent="0.25">
      <c r="A1077" t="str">
        <f>T("   NE")</f>
        <v xml:space="preserve">   NE</v>
      </c>
      <c r="B1077" t="str">
        <f>T("   Niger")</f>
        <v xml:space="preserve">   Niger</v>
      </c>
      <c r="C1077">
        <v>9375383</v>
      </c>
      <c r="D1077">
        <v>29782</v>
      </c>
    </row>
    <row r="1078" spans="1:4" x14ac:dyDescent="0.25">
      <c r="A1078" t="str">
        <f>T("   SN")</f>
        <v xml:space="preserve">   SN</v>
      </c>
      <c r="B1078" t="str">
        <f>T("   Sénégal")</f>
        <v xml:space="preserve">   Sénégal</v>
      </c>
      <c r="C1078">
        <v>15008143</v>
      </c>
      <c r="D1078">
        <v>34913.5</v>
      </c>
    </row>
    <row r="1079" spans="1:4" x14ac:dyDescent="0.25">
      <c r="A1079" t="str">
        <f>T("   TG")</f>
        <v xml:space="preserve">   TG</v>
      </c>
      <c r="B1079" t="str">
        <f>T("   Togo")</f>
        <v xml:space="preserve">   Togo</v>
      </c>
      <c r="C1079">
        <v>1788940</v>
      </c>
      <c r="D1079">
        <v>6000</v>
      </c>
    </row>
    <row r="1080" spans="1:4" x14ac:dyDescent="0.25">
      <c r="A1080" t="str">
        <f>T("731029")</f>
        <v>731029</v>
      </c>
      <c r="B1080" t="str">
        <f>T("Réservoirs, fûts, tambours, bidons et récipients simil., en fer ou en acier, pour toutes matières, contenance &lt; 50 l, n.d.a. (sauf pour gaz comprimés ou liquéfiés, sans dispositifs mécaniques ou thermiques et à l'excl. des boîtes)")</f>
        <v>Réservoirs, fûts, tambours, bidons et récipients simil., en fer ou en acier, pour toutes matières, contenance &lt; 50 l, n.d.a. (sauf pour gaz comprimés ou liquéfiés, sans dispositifs mécaniques ou thermiques et à l'excl. des boîtes)</v>
      </c>
    </row>
    <row r="1081" spans="1:4" x14ac:dyDescent="0.25">
      <c r="A1081" t="str">
        <f>T("   ZZZ_Monde")</f>
        <v xml:space="preserve">   ZZZ_Monde</v>
      </c>
      <c r="B1081" t="str">
        <f>T("   ZZZ_Monde")</f>
        <v xml:space="preserve">   ZZZ_Monde</v>
      </c>
      <c r="C1081">
        <v>14038072</v>
      </c>
      <c r="D1081">
        <v>6415.6</v>
      </c>
    </row>
    <row r="1082" spans="1:4" x14ac:dyDescent="0.25">
      <c r="A1082" t="str">
        <f>T("   CI")</f>
        <v xml:space="preserve">   CI</v>
      </c>
      <c r="B1082" t="str">
        <f>T("   Côte d'Ivoire")</f>
        <v xml:space="preserve">   Côte d'Ivoire</v>
      </c>
      <c r="C1082">
        <v>1000000</v>
      </c>
      <c r="D1082">
        <v>415.6</v>
      </c>
    </row>
    <row r="1083" spans="1:4" x14ac:dyDescent="0.25">
      <c r="A1083" t="str">
        <f>T("   JP")</f>
        <v xml:space="preserve">   JP</v>
      </c>
      <c r="B1083" t="str">
        <f>T("   Japon")</f>
        <v xml:space="preserve">   Japon</v>
      </c>
      <c r="C1083">
        <v>13038072</v>
      </c>
      <c r="D1083">
        <v>6000</v>
      </c>
    </row>
    <row r="1084" spans="1:4" x14ac:dyDescent="0.25">
      <c r="A1084" t="str">
        <f>T("731100")</f>
        <v>731100</v>
      </c>
      <c r="B1084" t="str">
        <f>T("Récipients en fonte, fer ou acier, pour gaz comprimés ou liquéfiés (autres que conteneurs spécialement conçus ou équipés pour un ou plusieurs moyens de transport)")</f>
        <v>Récipients en fonte, fer ou acier, pour gaz comprimés ou liquéfiés (autres que conteneurs spécialement conçus ou équipés pour un ou plusieurs moyens de transport)</v>
      </c>
    </row>
    <row r="1085" spans="1:4" x14ac:dyDescent="0.25">
      <c r="A1085" t="str">
        <f>T("   ZZZ_Monde")</f>
        <v xml:space="preserve">   ZZZ_Monde</v>
      </c>
      <c r="B1085" t="str">
        <f>T("   ZZZ_Monde")</f>
        <v xml:space="preserve">   ZZZ_Monde</v>
      </c>
      <c r="C1085">
        <v>551006</v>
      </c>
      <c r="D1085">
        <v>5000</v>
      </c>
    </row>
    <row r="1086" spans="1:4" x14ac:dyDescent="0.25">
      <c r="A1086" t="str">
        <f>T("   NG")</f>
        <v xml:space="preserve">   NG</v>
      </c>
      <c r="B1086" t="str">
        <f>T("   Nigéria")</f>
        <v xml:space="preserve">   Nigéria</v>
      </c>
      <c r="C1086">
        <v>551006</v>
      </c>
      <c r="D1086">
        <v>5000</v>
      </c>
    </row>
    <row r="1087" spans="1:4" x14ac:dyDescent="0.25">
      <c r="A1087" t="str">
        <f>T("731290")</f>
        <v>731290</v>
      </c>
      <c r="B1087" t="str">
        <f>T("Tresses, élingues et simil., en fer ou en acier (sauf produits isolés pour l'électricité)")</f>
        <v>Tresses, élingues et simil., en fer ou en acier (sauf produits isolés pour l'électricité)</v>
      </c>
    </row>
    <row r="1088" spans="1:4" x14ac:dyDescent="0.25">
      <c r="A1088" t="str">
        <f>T("   ZZZ_Monde")</f>
        <v xml:space="preserve">   ZZZ_Monde</v>
      </c>
      <c r="B1088" t="str">
        <f>T("   ZZZ_Monde")</f>
        <v xml:space="preserve">   ZZZ_Monde</v>
      </c>
      <c r="C1088">
        <v>3740907</v>
      </c>
      <c r="D1088">
        <v>269</v>
      </c>
    </row>
    <row r="1089" spans="1:4" x14ac:dyDescent="0.25">
      <c r="A1089" t="str">
        <f>T("   AT")</f>
        <v xml:space="preserve">   AT</v>
      </c>
      <c r="B1089" t="str">
        <f>T("   Autriche")</f>
        <v xml:space="preserve">   Autriche</v>
      </c>
      <c r="C1089">
        <v>3740907</v>
      </c>
      <c r="D1089">
        <v>269</v>
      </c>
    </row>
    <row r="1090" spans="1:4" x14ac:dyDescent="0.25">
      <c r="A1090" t="str">
        <f>T("731700")</f>
        <v>731700</v>
      </c>
      <c r="B1090" t="str">
        <f>T("Pointes, clous, punaises, crampons appointés, agrafes ondulées ou biseautées et articles simil., en fonte, fer ou acier, même avec tête en autre matière (à l'excl. de ceux avec tête en cuivre et à l'excl. des agrafes en barrettes)")</f>
        <v>Pointes, clous, punaises, crampons appointés, agrafes ondulées ou biseautées et articles simil., en fonte, fer ou acier, même avec tête en autre matière (à l'excl. de ceux avec tête en cuivre et à l'excl. des agrafes en barrettes)</v>
      </c>
    </row>
    <row r="1091" spans="1:4" x14ac:dyDescent="0.25">
      <c r="A1091" t="str">
        <f>T("   ZZZ_Monde")</f>
        <v xml:space="preserve">   ZZZ_Monde</v>
      </c>
      <c r="B1091" t="str">
        <f>T("   ZZZ_Monde")</f>
        <v xml:space="preserve">   ZZZ_Monde</v>
      </c>
      <c r="C1091">
        <v>629709072</v>
      </c>
      <c r="D1091">
        <v>1119000</v>
      </c>
    </row>
    <row r="1092" spans="1:4" x14ac:dyDescent="0.25">
      <c r="A1092" t="str">
        <f>T("   GQ")</f>
        <v xml:space="preserve">   GQ</v>
      </c>
      <c r="B1092" t="str">
        <f>T("   Guinée Equatoriale")</f>
        <v xml:space="preserve">   Guinée Equatoriale</v>
      </c>
      <c r="C1092">
        <v>1147500</v>
      </c>
      <c r="D1092">
        <v>2000</v>
      </c>
    </row>
    <row r="1093" spans="1:4" x14ac:dyDescent="0.25">
      <c r="A1093" t="str">
        <f>T("   NE")</f>
        <v xml:space="preserve">   NE</v>
      </c>
      <c r="B1093" t="str">
        <f>T("   Niger")</f>
        <v xml:space="preserve">   Niger</v>
      </c>
      <c r="C1093">
        <v>73200000</v>
      </c>
      <c r="D1093">
        <v>165000</v>
      </c>
    </row>
    <row r="1094" spans="1:4" x14ac:dyDescent="0.25">
      <c r="A1094" t="str">
        <f>T("   TD")</f>
        <v xml:space="preserve">   TD</v>
      </c>
      <c r="B1094" t="str">
        <f>T("   Tchad")</f>
        <v xml:space="preserve">   Tchad</v>
      </c>
      <c r="C1094">
        <v>555361572</v>
      </c>
      <c r="D1094">
        <v>952000</v>
      </c>
    </row>
    <row r="1095" spans="1:4" x14ac:dyDescent="0.25">
      <c r="A1095" t="str">
        <f>T("731816")</f>
        <v>731816</v>
      </c>
      <c r="B1095" t="str">
        <f>T("ÉCROUS EN FONTE, FER OU ACIER")</f>
        <v>ÉCROUS EN FONTE, FER OU ACIER</v>
      </c>
    </row>
    <row r="1096" spans="1:4" x14ac:dyDescent="0.25">
      <c r="A1096" t="str">
        <f>T("   ZZZ_Monde")</f>
        <v xml:space="preserve">   ZZZ_Monde</v>
      </c>
      <c r="B1096" t="str">
        <f>T("   ZZZ_Monde")</f>
        <v xml:space="preserve">   ZZZ_Monde</v>
      </c>
      <c r="C1096">
        <v>4459047</v>
      </c>
      <c r="D1096">
        <v>11000</v>
      </c>
    </row>
    <row r="1097" spans="1:4" x14ac:dyDescent="0.25">
      <c r="A1097" t="str">
        <f>T("   TG")</f>
        <v xml:space="preserve">   TG</v>
      </c>
      <c r="B1097" t="str">
        <f>T("   Togo")</f>
        <v xml:space="preserve">   Togo</v>
      </c>
      <c r="C1097">
        <v>4459047</v>
      </c>
      <c r="D1097">
        <v>11000</v>
      </c>
    </row>
    <row r="1098" spans="1:4" x14ac:dyDescent="0.25">
      <c r="A1098" t="str">
        <f>T("732394")</f>
        <v>732394</v>
      </c>
      <c r="B1098" t="str">
        <f>T("Articles de ménage ou d'économie domestique et leurs parties, en fer ou en aciers autres qu'inoxydables, émaillés (à l'excl. de la fonte; des bidons, boîtes et récipients simil. du n° 7310; poubelles; pelles et autres articles à caractère d'outils; cuille")</f>
        <v>Articles de ménage ou d'économie domestique et leurs parties, en fer ou en aciers autres qu'inoxydables, émaillés (à l'excl. de la fonte; des bidons, boîtes et récipients simil. du n° 7310; poubelles; pelles et autres articles à caractère d'outils; cuille</v>
      </c>
    </row>
    <row r="1099" spans="1:4" x14ac:dyDescent="0.25">
      <c r="A1099" t="str">
        <f>T("   ZZZ_Monde")</f>
        <v xml:space="preserve">   ZZZ_Monde</v>
      </c>
      <c r="B1099" t="str">
        <f>T("   ZZZ_Monde")</f>
        <v xml:space="preserve">   ZZZ_Monde</v>
      </c>
      <c r="C1099">
        <v>20268886</v>
      </c>
      <c r="D1099">
        <v>21035</v>
      </c>
    </row>
    <row r="1100" spans="1:4" x14ac:dyDescent="0.25">
      <c r="A1100" t="str">
        <f>T("   AM")</f>
        <v xml:space="preserve">   AM</v>
      </c>
      <c r="B1100" t="str">
        <f>T("   Arménie")</f>
        <v xml:space="preserve">   Arménie</v>
      </c>
      <c r="C1100">
        <v>300000</v>
      </c>
      <c r="D1100">
        <v>300</v>
      </c>
    </row>
    <row r="1101" spans="1:4" x14ac:dyDescent="0.25">
      <c r="A1101" t="str">
        <f>T("   BD")</f>
        <v xml:space="preserve">   BD</v>
      </c>
      <c r="B1101" t="str">
        <f>T("   Bangladesh")</f>
        <v xml:space="preserve">   Bangladesh</v>
      </c>
      <c r="C1101">
        <v>300000</v>
      </c>
      <c r="D1101">
        <v>300</v>
      </c>
    </row>
    <row r="1102" spans="1:4" x14ac:dyDescent="0.25">
      <c r="A1102" t="str">
        <f>T("   BE")</f>
        <v xml:space="preserve">   BE</v>
      </c>
      <c r="B1102" t="str">
        <f>T("   Belgique")</f>
        <v xml:space="preserve">   Belgique</v>
      </c>
      <c r="C1102">
        <v>1050000</v>
      </c>
      <c r="D1102">
        <v>1150</v>
      </c>
    </row>
    <row r="1103" spans="1:4" x14ac:dyDescent="0.25">
      <c r="A1103" t="str">
        <f>T("   CD")</f>
        <v xml:space="preserve">   CD</v>
      </c>
      <c r="B1103" t="str">
        <f>T("   Congo, République Démocratique")</f>
        <v xml:space="preserve">   Congo, République Démocratique</v>
      </c>
      <c r="C1103">
        <v>200000</v>
      </c>
      <c r="D1103">
        <v>100</v>
      </c>
    </row>
    <row r="1104" spans="1:4" x14ac:dyDescent="0.25">
      <c r="A1104" t="str">
        <f>T("   CG")</f>
        <v xml:space="preserve">   CG</v>
      </c>
      <c r="B1104" t="str">
        <f>T("   Congo (Brazzaville)")</f>
        <v xml:space="preserve">   Congo (Brazzaville)</v>
      </c>
      <c r="C1104">
        <v>2818886</v>
      </c>
      <c r="D1104">
        <v>582</v>
      </c>
    </row>
    <row r="1105" spans="1:4" x14ac:dyDescent="0.25">
      <c r="A1105" t="str">
        <f>T("   CI")</f>
        <v xml:space="preserve">   CI</v>
      </c>
      <c r="B1105" t="str">
        <f>T("   Côte d'Ivoire")</f>
        <v xml:space="preserve">   Côte d'Ivoire</v>
      </c>
      <c r="C1105">
        <v>2350000</v>
      </c>
      <c r="D1105">
        <v>3393</v>
      </c>
    </row>
    <row r="1106" spans="1:4" x14ac:dyDescent="0.25">
      <c r="A1106" t="str">
        <f>T("   CM")</f>
        <v xml:space="preserve">   CM</v>
      </c>
      <c r="B1106" t="str">
        <f>T("   Cameroun")</f>
        <v xml:space="preserve">   Cameroun</v>
      </c>
      <c r="C1106">
        <v>200000</v>
      </c>
      <c r="D1106">
        <v>300</v>
      </c>
    </row>
    <row r="1107" spans="1:4" x14ac:dyDescent="0.25">
      <c r="A1107" t="str">
        <f>T("   DE")</f>
        <v xml:space="preserve">   DE</v>
      </c>
      <c r="B1107" t="str">
        <f>T("   Allemagne")</f>
        <v xml:space="preserve">   Allemagne</v>
      </c>
      <c r="C1107">
        <v>600000</v>
      </c>
      <c r="D1107">
        <v>400</v>
      </c>
    </row>
    <row r="1108" spans="1:4" x14ac:dyDescent="0.25">
      <c r="A1108" t="str">
        <f>T("   DK")</f>
        <v xml:space="preserve">   DK</v>
      </c>
      <c r="B1108" t="str">
        <f>T("   Danemark")</f>
        <v xml:space="preserve">   Danemark</v>
      </c>
      <c r="C1108">
        <v>600000</v>
      </c>
      <c r="D1108">
        <v>600</v>
      </c>
    </row>
    <row r="1109" spans="1:4" x14ac:dyDescent="0.25">
      <c r="A1109" t="str">
        <f>T("   EG")</f>
        <v xml:space="preserve">   EG</v>
      </c>
      <c r="B1109" t="str">
        <f>T("   Egypte")</f>
        <v xml:space="preserve">   Egypte</v>
      </c>
      <c r="C1109">
        <v>300000</v>
      </c>
      <c r="D1109">
        <v>300</v>
      </c>
    </row>
    <row r="1110" spans="1:4" x14ac:dyDescent="0.25">
      <c r="A1110" t="str">
        <f>T("   FR")</f>
        <v xml:space="preserve">   FR</v>
      </c>
      <c r="B1110" t="str">
        <f>T("   France")</f>
        <v xml:space="preserve">   France</v>
      </c>
      <c r="C1110">
        <v>3650000</v>
      </c>
      <c r="D1110">
        <v>4125</v>
      </c>
    </row>
    <row r="1111" spans="1:4" x14ac:dyDescent="0.25">
      <c r="A1111" t="str">
        <f>T("   GA")</f>
        <v xml:space="preserve">   GA</v>
      </c>
      <c r="B1111" t="str">
        <f>T("   Gabon")</f>
        <v xml:space="preserve">   Gabon</v>
      </c>
      <c r="C1111">
        <v>650000</v>
      </c>
      <c r="D1111">
        <v>800</v>
      </c>
    </row>
    <row r="1112" spans="1:4" x14ac:dyDescent="0.25">
      <c r="A1112" t="str">
        <f>T("   HT")</f>
        <v xml:space="preserve">   HT</v>
      </c>
      <c r="B1112" t="str">
        <f>T("   Haïti")</f>
        <v xml:space="preserve">   Haïti</v>
      </c>
      <c r="C1112">
        <v>300000</v>
      </c>
      <c r="D1112">
        <v>200</v>
      </c>
    </row>
    <row r="1113" spans="1:4" x14ac:dyDescent="0.25">
      <c r="A1113" t="str">
        <f>T("   ID")</f>
        <v xml:space="preserve">   ID</v>
      </c>
      <c r="B1113" t="str">
        <f>T("   Indonésie")</f>
        <v xml:space="preserve">   Indonésie</v>
      </c>
      <c r="C1113">
        <v>300000</v>
      </c>
      <c r="D1113">
        <v>300</v>
      </c>
    </row>
    <row r="1114" spans="1:4" x14ac:dyDescent="0.25">
      <c r="A1114" t="str">
        <f>T("   KE")</f>
        <v xml:space="preserve">   KE</v>
      </c>
      <c r="B1114" t="str">
        <f>T("   Kenya")</f>
        <v xml:space="preserve">   Kenya</v>
      </c>
      <c r="C1114">
        <v>600000</v>
      </c>
      <c r="D1114">
        <v>700</v>
      </c>
    </row>
    <row r="1115" spans="1:4" x14ac:dyDescent="0.25">
      <c r="A1115" t="str">
        <f>T("   MG")</f>
        <v xml:space="preserve">   MG</v>
      </c>
      <c r="B1115" t="str">
        <f>T("   Madagascar")</f>
        <v xml:space="preserve">   Madagascar</v>
      </c>
      <c r="C1115">
        <v>300000</v>
      </c>
      <c r="D1115">
        <v>200</v>
      </c>
    </row>
    <row r="1116" spans="1:4" x14ac:dyDescent="0.25">
      <c r="A1116" t="str">
        <f>T("   NE")</f>
        <v xml:space="preserve">   NE</v>
      </c>
      <c r="B1116" t="str">
        <f>T("   Niger")</f>
        <v xml:space="preserve">   Niger</v>
      </c>
      <c r="C1116">
        <v>300000</v>
      </c>
      <c r="D1116">
        <v>200</v>
      </c>
    </row>
    <row r="1117" spans="1:4" x14ac:dyDescent="0.25">
      <c r="A1117" t="str">
        <f>T("   NL")</f>
        <v xml:space="preserve">   NL</v>
      </c>
      <c r="B1117" t="str">
        <f>T("   Pays-bas")</f>
        <v xml:space="preserve">   Pays-bas</v>
      </c>
      <c r="C1117">
        <v>550000</v>
      </c>
      <c r="D1117">
        <v>700</v>
      </c>
    </row>
    <row r="1118" spans="1:4" x14ac:dyDescent="0.25">
      <c r="A1118" t="str">
        <f>T("   SN")</f>
        <v xml:space="preserve">   SN</v>
      </c>
      <c r="B1118" t="str">
        <f>T("   Sénégal")</f>
        <v xml:space="preserve">   Sénégal</v>
      </c>
      <c r="C1118">
        <v>1950000</v>
      </c>
      <c r="D1118">
        <v>1885</v>
      </c>
    </row>
    <row r="1119" spans="1:4" x14ac:dyDescent="0.25">
      <c r="A1119" t="str">
        <f>T("   TG")</f>
        <v xml:space="preserve">   TG</v>
      </c>
      <c r="B1119" t="str">
        <f>T("   Togo")</f>
        <v xml:space="preserve">   Togo</v>
      </c>
      <c r="C1119">
        <v>500000</v>
      </c>
      <c r="D1119">
        <v>700</v>
      </c>
    </row>
    <row r="1120" spans="1:4" x14ac:dyDescent="0.25">
      <c r="A1120" t="str">
        <f>T("   TN")</f>
        <v xml:space="preserve">   TN</v>
      </c>
      <c r="B1120" t="str">
        <f>T("   Tunisie")</f>
        <v xml:space="preserve">   Tunisie</v>
      </c>
      <c r="C1120">
        <v>550000</v>
      </c>
      <c r="D1120">
        <v>500</v>
      </c>
    </row>
    <row r="1121" spans="1:4" x14ac:dyDescent="0.25">
      <c r="A1121" t="str">
        <f>T("   US")</f>
        <v xml:space="preserve">   US</v>
      </c>
      <c r="B1121" t="str">
        <f>T("   Etats-Unis")</f>
        <v xml:space="preserve">   Etats-Unis</v>
      </c>
      <c r="C1121">
        <v>300000</v>
      </c>
      <c r="D1121">
        <v>500</v>
      </c>
    </row>
    <row r="1122" spans="1:4" x14ac:dyDescent="0.25">
      <c r="A1122" t="str">
        <f>T("   ZA")</f>
        <v xml:space="preserve">   ZA</v>
      </c>
      <c r="B1122" t="str">
        <f>T("   Afrique du Sud")</f>
        <v xml:space="preserve">   Afrique du Sud</v>
      </c>
      <c r="C1122">
        <v>1600000</v>
      </c>
      <c r="D1122">
        <v>2800</v>
      </c>
    </row>
    <row r="1123" spans="1:4" x14ac:dyDescent="0.25">
      <c r="A1123" t="str">
        <f>T("732399")</f>
        <v>732399</v>
      </c>
      <c r="B1123" t="str">
        <f>T("Articles de ménage ou d'économie domestique et leurs parties, en fer ou aciers autres qu'inoxydables (sauf fonte et articles émaillés; bidons, boîtes et récipients simil. du n° 7310; poubelles; pelles, tire-bouchons et autres articles à caractère d'outils")</f>
        <v>Articles de ménage ou d'économie domestique et leurs parties, en fer ou aciers autres qu'inoxydables (sauf fonte et articles émaillés; bidons, boîtes et récipients simil. du n° 7310; poubelles; pelles, tire-bouchons et autres articles à caractère d'outils</v>
      </c>
    </row>
    <row r="1124" spans="1:4" x14ac:dyDescent="0.25">
      <c r="A1124" t="str">
        <f>T("   ZZZ_Monde")</f>
        <v xml:space="preserve">   ZZZ_Monde</v>
      </c>
      <c r="B1124" t="str">
        <f>T("   ZZZ_Monde")</f>
        <v xml:space="preserve">   ZZZ_Monde</v>
      </c>
      <c r="C1124">
        <v>36966675</v>
      </c>
      <c r="D1124">
        <v>24003</v>
      </c>
    </row>
    <row r="1125" spans="1:4" x14ac:dyDescent="0.25">
      <c r="A1125" t="str">
        <f>T("   CI")</f>
        <v xml:space="preserve">   CI</v>
      </c>
      <c r="B1125" t="str">
        <f>T("   Côte d'Ivoire")</f>
        <v xml:space="preserve">   Côte d'Ivoire</v>
      </c>
      <c r="C1125">
        <v>1647000</v>
      </c>
      <c r="D1125">
        <v>1003</v>
      </c>
    </row>
    <row r="1126" spans="1:4" x14ac:dyDescent="0.25">
      <c r="A1126" t="str">
        <f>T("   FR")</f>
        <v xml:space="preserve">   FR</v>
      </c>
      <c r="B1126" t="str">
        <f>T("   France")</f>
        <v xml:space="preserve">   France</v>
      </c>
      <c r="C1126">
        <v>29969675</v>
      </c>
      <c r="D1126">
        <v>10000</v>
      </c>
    </row>
    <row r="1127" spans="1:4" x14ac:dyDescent="0.25">
      <c r="A1127" t="str">
        <f>T("   GN")</f>
        <v xml:space="preserve">   GN</v>
      </c>
      <c r="B1127" t="str">
        <f>T("   Guinée")</f>
        <v xml:space="preserve">   Guinée</v>
      </c>
      <c r="C1127">
        <v>2850000</v>
      </c>
      <c r="D1127">
        <v>3000</v>
      </c>
    </row>
    <row r="1128" spans="1:4" x14ac:dyDescent="0.25">
      <c r="A1128" t="str">
        <f>T("   GQ")</f>
        <v xml:space="preserve">   GQ</v>
      </c>
      <c r="B1128" t="str">
        <f>T("   Guinée Equatoriale")</f>
        <v xml:space="preserve">   Guinée Equatoriale</v>
      </c>
      <c r="C1128">
        <v>2500000</v>
      </c>
      <c r="D1128">
        <v>10000</v>
      </c>
    </row>
    <row r="1129" spans="1:4" x14ac:dyDescent="0.25">
      <c r="A1129" t="str">
        <f>T("732620")</f>
        <v>732620</v>
      </c>
      <c r="B1129" t="str">
        <f>T("Ouvrages en fil de fer ou d'acier, n.d.a.")</f>
        <v>Ouvrages en fil de fer ou d'acier, n.d.a.</v>
      </c>
    </row>
    <row r="1130" spans="1:4" x14ac:dyDescent="0.25">
      <c r="A1130" t="str">
        <f>T("   ZZZ_Monde")</f>
        <v xml:space="preserve">   ZZZ_Monde</v>
      </c>
      <c r="B1130" t="str">
        <f>T("   ZZZ_Monde")</f>
        <v xml:space="preserve">   ZZZ_Monde</v>
      </c>
      <c r="C1130">
        <v>63228940</v>
      </c>
      <c r="D1130">
        <v>78300</v>
      </c>
    </row>
    <row r="1131" spans="1:4" x14ac:dyDescent="0.25">
      <c r="A1131" t="str">
        <f>T("   CH")</f>
        <v xml:space="preserve">   CH</v>
      </c>
      <c r="B1131" t="str">
        <f>T("   Suisse")</f>
        <v xml:space="preserve">   Suisse</v>
      </c>
      <c r="C1131">
        <v>63228940</v>
      </c>
      <c r="D1131">
        <v>78300</v>
      </c>
    </row>
    <row r="1132" spans="1:4" x14ac:dyDescent="0.25">
      <c r="A1132" t="str">
        <f>T("732690")</f>
        <v>732690</v>
      </c>
      <c r="B1132" t="str">
        <f>T("Ouvrages en fer ou en acier, n.d.a. (autres que moulés, ainsi que forgés ou estampés mais non autrement travaillés ou en fils de fer ou d'acier)")</f>
        <v>Ouvrages en fer ou en acier, n.d.a. (autres que moulés, ainsi que forgés ou estampés mais non autrement travaillés ou en fils de fer ou d'acier)</v>
      </c>
    </row>
    <row r="1133" spans="1:4" x14ac:dyDescent="0.25">
      <c r="A1133" t="str">
        <f>T("   ZZZ_Monde")</f>
        <v xml:space="preserve">   ZZZ_Monde</v>
      </c>
      <c r="B1133" t="str">
        <f>T("   ZZZ_Monde")</f>
        <v xml:space="preserve">   ZZZ_Monde</v>
      </c>
      <c r="C1133">
        <v>241838383</v>
      </c>
      <c r="D1133">
        <v>337133</v>
      </c>
    </row>
    <row r="1134" spans="1:4" x14ac:dyDescent="0.25">
      <c r="A1134" t="str">
        <f>T("   CH")</f>
        <v xml:space="preserve">   CH</v>
      </c>
      <c r="B1134" t="str">
        <f>T("   Suisse")</f>
        <v xml:space="preserve">   Suisse</v>
      </c>
      <c r="C1134">
        <v>22952750</v>
      </c>
      <c r="D1134">
        <v>28259</v>
      </c>
    </row>
    <row r="1135" spans="1:4" x14ac:dyDescent="0.25">
      <c r="A1135" t="str">
        <f>T("   GB")</f>
        <v xml:space="preserve">   GB</v>
      </c>
      <c r="B1135" t="str">
        <f>T("   Royaume-Uni")</f>
        <v xml:space="preserve">   Royaume-Uni</v>
      </c>
      <c r="C1135">
        <v>18803042</v>
      </c>
      <c r="D1135">
        <v>1406</v>
      </c>
    </row>
    <row r="1136" spans="1:4" x14ac:dyDescent="0.25">
      <c r="A1136" t="str">
        <f>T("   GH")</f>
        <v xml:space="preserve">   GH</v>
      </c>
      <c r="B1136" t="str">
        <f>T("   Ghana")</f>
        <v xml:space="preserve">   Ghana</v>
      </c>
      <c r="C1136">
        <v>200082591</v>
      </c>
      <c r="D1136">
        <v>307468</v>
      </c>
    </row>
    <row r="1137" spans="1:4" x14ac:dyDescent="0.25">
      <c r="A1137" t="str">
        <f>T("740400")</f>
        <v>740400</v>
      </c>
      <c r="B1137" t="str">
        <f>T("Déchets et débris de cuivre (à l'excl. des déchets lingotés ou formes brutes simil., en déchets et débris de cuivre fondus, et sauf cendres et résidus contenant du cuivre et déchets et débris de piles, batteries et accumulateurs électriques)")</f>
        <v>Déchets et débris de cuivre (à l'excl. des déchets lingotés ou formes brutes simil., en déchets et débris de cuivre fondus, et sauf cendres et résidus contenant du cuivre et déchets et débris de piles, batteries et accumulateurs électriques)</v>
      </c>
    </row>
    <row r="1138" spans="1:4" x14ac:dyDescent="0.25">
      <c r="A1138" t="str">
        <f>T("   ZZZ_Monde")</f>
        <v xml:space="preserve">   ZZZ_Monde</v>
      </c>
      <c r="B1138" t="str">
        <f>T("   ZZZ_Monde")</f>
        <v xml:space="preserve">   ZZZ_Monde</v>
      </c>
      <c r="C1138">
        <v>13316750</v>
      </c>
      <c r="D1138">
        <v>154534</v>
      </c>
    </row>
    <row r="1139" spans="1:4" x14ac:dyDescent="0.25">
      <c r="A1139" t="str">
        <f>T("   BE")</f>
        <v xml:space="preserve">   BE</v>
      </c>
      <c r="B1139" t="str">
        <f>T("   Belgique")</f>
        <v xml:space="preserve">   Belgique</v>
      </c>
      <c r="C1139">
        <v>6217875</v>
      </c>
      <c r="D1139">
        <v>49743</v>
      </c>
    </row>
    <row r="1140" spans="1:4" x14ac:dyDescent="0.25">
      <c r="A1140" t="str">
        <f>T("   DE")</f>
        <v xml:space="preserve">   DE</v>
      </c>
      <c r="B1140" t="str">
        <f>T("   Allemagne")</f>
        <v xml:space="preserve">   Allemagne</v>
      </c>
      <c r="C1140">
        <v>4098875</v>
      </c>
      <c r="D1140">
        <v>44791</v>
      </c>
    </row>
    <row r="1141" spans="1:4" x14ac:dyDescent="0.25">
      <c r="A1141" t="str">
        <f>T("   NL")</f>
        <v xml:space="preserve">   NL</v>
      </c>
      <c r="B1141" t="str">
        <f>T("   Pays-bas")</f>
        <v xml:space="preserve">   Pays-bas</v>
      </c>
      <c r="C1141">
        <v>1000000</v>
      </c>
      <c r="D1141">
        <v>20000</v>
      </c>
    </row>
    <row r="1142" spans="1:4" x14ac:dyDescent="0.25">
      <c r="A1142" t="str">
        <f>T("   US")</f>
        <v xml:space="preserve">   US</v>
      </c>
      <c r="B1142" t="str">
        <f>T("   Etats-Unis")</f>
        <v xml:space="preserve">   Etats-Unis</v>
      </c>
      <c r="C1142">
        <v>2000000</v>
      </c>
      <c r="D1142">
        <v>40000</v>
      </c>
    </row>
    <row r="1143" spans="1:4" x14ac:dyDescent="0.25">
      <c r="A1143" t="str">
        <f>T("741521")</f>
        <v>741521</v>
      </c>
      <c r="B1143" t="str">
        <f>T("Rondelles, y.c. -les rondelles destinées à faire ressort-, en cuivre")</f>
        <v>Rondelles, y.c. -les rondelles destinées à faire ressort-, en cuivre</v>
      </c>
    </row>
    <row r="1144" spans="1:4" x14ac:dyDescent="0.25">
      <c r="A1144" t="str">
        <f>T("   ZZZ_Monde")</f>
        <v xml:space="preserve">   ZZZ_Monde</v>
      </c>
      <c r="B1144" t="str">
        <f>T("   ZZZ_Monde")</f>
        <v xml:space="preserve">   ZZZ_Monde</v>
      </c>
      <c r="C1144">
        <v>615400</v>
      </c>
      <c r="D1144">
        <v>2000</v>
      </c>
    </row>
    <row r="1145" spans="1:4" x14ac:dyDescent="0.25">
      <c r="A1145" t="str">
        <f>T("   TG")</f>
        <v xml:space="preserve">   TG</v>
      </c>
      <c r="B1145" t="str">
        <f>T("   Togo")</f>
        <v xml:space="preserve">   Togo</v>
      </c>
      <c r="C1145">
        <v>615400</v>
      </c>
      <c r="D1145">
        <v>2000</v>
      </c>
    </row>
    <row r="1146" spans="1:4" x14ac:dyDescent="0.25">
      <c r="A1146" t="str">
        <f>T("741819")</f>
        <v>741819</v>
      </c>
      <c r="B1146" t="str">
        <f>T("ARTICLES DE MÉNAGE OU D'ÉCONOMIE DOMESTIQUE ET LEURS PARTIES, EN CUIVRE (SAUF ÉPONGES, TORCHONS, GANTS ET ARTICLES SIMIL.; BIDONS, BOÎTES ET RÉCIPIENTS SIMIL. DU N° 7419; ARTICLES À CARACTÈRE D'OUTILS; COUTELLERIE, CUILLERS, FOURCHETTES, ETC.; OBJETS DÉCO")</f>
        <v>ARTICLES DE MÉNAGE OU D'ÉCONOMIE DOMESTIQUE ET LEURS PARTIES, EN CUIVRE (SAUF ÉPONGES, TORCHONS, GANTS ET ARTICLES SIMIL.; BIDONS, BOÎTES ET RÉCIPIENTS SIMIL. DU N° 7419; ARTICLES À CARACTÈRE D'OUTILS; COUTELLERIE, CUILLERS, FOURCHETTES, ETC.; OBJETS DÉCO</v>
      </c>
    </row>
    <row r="1147" spans="1:4" x14ac:dyDescent="0.25">
      <c r="A1147" t="str">
        <f>T("   ZZZ_Monde")</f>
        <v xml:space="preserve">   ZZZ_Monde</v>
      </c>
      <c r="B1147" t="str">
        <f>T("   ZZZ_Monde")</f>
        <v xml:space="preserve">   ZZZ_Monde</v>
      </c>
      <c r="C1147">
        <v>655960</v>
      </c>
      <c r="D1147">
        <v>270</v>
      </c>
    </row>
    <row r="1148" spans="1:4" x14ac:dyDescent="0.25">
      <c r="A1148" t="str">
        <f>T("   FR")</f>
        <v xml:space="preserve">   FR</v>
      </c>
      <c r="B1148" t="str">
        <f>T("   France")</f>
        <v xml:space="preserve">   France</v>
      </c>
      <c r="C1148">
        <v>655960</v>
      </c>
      <c r="D1148">
        <v>270</v>
      </c>
    </row>
    <row r="1149" spans="1:4" x14ac:dyDescent="0.25">
      <c r="A1149" t="str">
        <f>T("760110")</f>
        <v>760110</v>
      </c>
      <c r="B1149" t="str">
        <f>T("Aluminium non allié, sous forme brute")</f>
        <v>Aluminium non allié, sous forme brute</v>
      </c>
    </row>
    <row r="1150" spans="1:4" x14ac:dyDescent="0.25">
      <c r="A1150" t="str">
        <f>T("   ZZZ_Monde")</f>
        <v xml:space="preserve">   ZZZ_Monde</v>
      </c>
      <c r="B1150" t="str">
        <f>T("   ZZZ_Monde")</f>
        <v xml:space="preserve">   ZZZ_Monde</v>
      </c>
      <c r="C1150">
        <v>780000</v>
      </c>
      <c r="D1150">
        <v>1000</v>
      </c>
    </row>
    <row r="1151" spans="1:4" x14ac:dyDescent="0.25">
      <c r="A1151" t="str">
        <f>T("   GN")</f>
        <v xml:space="preserve">   GN</v>
      </c>
      <c r="B1151" t="str">
        <f>T("   Guinée")</f>
        <v xml:space="preserve">   Guinée</v>
      </c>
      <c r="C1151">
        <v>780000</v>
      </c>
      <c r="D1151">
        <v>1000</v>
      </c>
    </row>
    <row r="1152" spans="1:4" x14ac:dyDescent="0.25">
      <c r="A1152" t="str">
        <f>T("760200")</f>
        <v>760200</v>
      </c>
      <c r="B1152" t="str">
        <f>T("Déchets et débris d'aluminium (sauf scories, mâchefer, etc., produits par la sidérurgie et contenant de l'aluminium récupérable sous forme de silicates, les déchets lingotés et autres formes brutes simil. en déchets ou débris d'aluminium fondus, et sauf c")</f>
        <v>Déchets et débris d'aluminium (sauf scories, mâchefer, etc., produits par la sidérurgie et contenant de l'aluminium récupérable sous forme de silicates, les déchets lingotés et autres formes brutes simil. en déchets ou débris d'aluminium fondus, et sauf c</v>
      </c>
    </row>
    <row r="1153" spans="1:4" x14ac:dyDescent="0.25">
      <c r="A1153" t="str">
        <f>T("   ZZZ_Monde")</f>
        <v xml:space="preserve">   ZZZ_Monde</v>
      </c>
      <c r="B1153" t="str">
        <f>T("   ZZZ_Monde")</f>
        <v xml:space="preserve">   ZZZ_Monde</v>
      </c>
      <c r="C1153">
        <v>77800000</v>
      </c>
      <c r="D1153">
        <v>1530000</v>
      </c>
    </row>
    <row r="1154" spans="1:4" x14ac:dyDescent="0.25">
      <c r="A1154" t="str">
        <f>T("   CN")</f>
        <v xml:space="preserve">   CN</v>
      </c>
      <c r="B1154" t="str">
        <f>T("   Chine")</f>
        <v xml:space="preserve">   Chine</v>
      </c>
      <c r="C1154">
        <v>1500000</v>
      </c>
      <c r="D1154">
        <v>30000</v>
      </c>
    </row>
    <row r="1155" spans="1:4" x14ac:dyDescent="0.25">
      <c r="A1155" t="str">
        <f>T("   ID")</f>
        <v xml:space="preserve">   ID</v>
      </c>
      <c r="B1155" t="str">
        <f>T("   Indonésie")</f>
        <v xml:space="preserve">   Indonésie</v>
      </c>
      <c r="C1155">
        <v>1200000</v>
      </c>
      <c r="D1155">
        <v>20000</v>
      </c>
    </row>
    <row r="1156" spans="1:4" x14ac:dyDescent="0.25">
      <c r="A1156" t="str">
        <f>T("   IN")</f>
        <v xml:space="preserve">   IN</v>
      </c>
      <c r="B1156" t="str">
        <f>T("   Inde")</f>
        <v xml:space="preserve">   Inde</v>
      </c>
      <c r="C1156">
        <v>71100000</v>
      </c>
      <c r="D1156">
        <v>1400000</v>
      </c>
    </row>
    <row r="1157" spans="1:4" x14ac:dyDescent="0.25">
      <c r="A1157" t="str">
        <f>T("   KR")</f>
        <v xml:space="preserve">   KR</v>
      </c>
      <c r="B1157" t="str">
        <f>T("   Corée, République de")</f>
        <v xml:space="preserve">   Corée, République de</v>
      </c>
      <c r="C1157">
        <v>1000000</v>
      </c>
      <c r="D1157">
        <v>20000</v>
      </c>
    </row>
    <row r="1158" spans="1:4" x14ac:dyDescent="0.25">
      <c r="A1158" t="str">
        <f>T("   NE")</f>
        <v xml:space="preserve">   NE</v>
      </c>
      <c r="B1158" t="str">
        <f>T("   Niger")</f>
        <v xml:space="preserve">   Niger</v>
      </c>
      <c r="C1158">
        <v>1500000</v>
      </c>
      <c r="D1158">
        <v>30000</v>
      </c>
    </row>
    <row r="1159" spans="1:4" x14ac:dyDescent="0.25">
      <c r="A1159" t="str">
        <f>T("   VN")</f>
        <v xml:space="preserve">   VN</v>
      </c>
      <c r="B1159" t="str">
        <f>T("   Vietnam")</f>
        <v xml:space="preserve">   Vietnam</v>
      </c>
      <c r="C1159">
        <v>1500000</v>
      </c>
      <c r="D1159">
        <v>30000</v>
      </c>
    </row>
    <row r="1160" spans="1:4" x14ac:dyDescent="0.25">
      <c r="A1160" t="str">
        <f>T("760410")</f>
        <v>760410</v>
      </c>
      <c r="B1160" t="str">
        <f>T("BARRES ET PROFILÉS EN ALUMINIUM NON-ALLIÉ, N.D.A.")</f>
        <v>BARRES ET PROFILÉS EN ALUMINIUM NON-ALLIÉ, N.D.A.</v>
      </c>
    </row>
    <row r="1161" spans="1:4" x14ac:dyDescent="0.25">
      <c r="A1161" t="str">
        <f>T("   ZZZ_Monde")</f>
        <v xml:space="preserve">   ZZZ_Monde</v>
      </c>
      <c r="B1161" t="str">
        <f>T("   ZZZ_Monde")</f>
        <v xml:space="preserve">   ZZZ_Monde</v>
      </c>
      <c r="C1161">
        <v>1200000</v>
      </c>
      <c r="D1161">
        <v>120</v>
      </c>
    </row>
    <row r="1162" spans="1:4" x14ac:dyDescent="0.25">
      <c r="A1162" t="str">
        <f>T("   GA")</f>
        <v xml:space="preserve">   GA</v>
      </c>
      <c r="B1162" t="str">
        <f>T("   Gabon")</f>
        <v xml:space="preserve">   Gabon</v>
      </c>
      <c r="C1162">
        <v>1200000</v>
      </c>
      <c r="D1162">
        <v>120</v>
      </c>
    </row>
    <row r="1163" spans="1:4" x14ac:dyDescent="0.25">
      <c r="A1163" t="str">
        <f>T("760429")</f>
        <v>760429</v>
      </c>
      <c r="B1163" t="str">
        <f>T("Barres et profilés pleins en alliages d'aluminium, n.d.a.")</f>
        <v>Barres et profilés pleins en alliages d'aluminium, n.d.a.</v>
      </c>
    </row>
    <row r="1164" spans="1:4" x14ac:dyDescent="0.25">
      <c r="A1164" t="str">
        <f>T("   ZZZ_Monde")</f>
        <v xml:space="preserve">   ZZZ_Monde</v>
      </c>
      <c r="B1164" t="str">
        <f>T("   ZZZ_Monde")</f>
        <v xml:space="preserve">   ZZZ_Monde</v>
      </c>
      <c r="C1164">
        <v>8050000</v>
      </c>
      <c r="D1164">
        <v>6700</v>
      </c>
    </row>
    <row r="1165" spans="1:4" x14ac:dyDescent="0.25">
      <c r="A1165" t="str">
        <f>T("   GA")</f>
        <v xml:space="preserve">   GA</v>
      </c>
      <c r="B1165" t="str">
        <f>T("   Gabon")</f>
        <v xml:space="preserve">   Gabon</v>
      </c>
      <c r="C1165">
        <v>8050000</v>
      </c>
      <c r="D1165">
        <v>6700</v>
      </c>
    </row>
    <row r="1166" spans="1:4" x14ac:dyDescent="0.25">
      <c r="A1166" t="str">
        <f>T("760611")</f>
        <v>760611</v>
      </c>
      <c r="B1166" t="str">
        <f>T("TÔLES ET BANDES EN ALUMINIUM NON-ALLIÉ, D'UNE ÉPAISSEUR &gt; 0,2 MM, DE FORME CARRÉE OU RECTANGULAIRE (SAUF TÔLES ET BANDES DÉPLOYÉES)")</f>
        <v>TÔLES ET BANDES EN ALUMINIUM NON-ALLIÉ, D'UNE ÉPAISSEUR &gt; 0,2 MM, DE FORME CARRÉE OU RECTANGULAIRE (SAUF TÔLES ET BANDES DÉPLOYÉES)</v>
      </c>
    </row>
    <row r="1167" spans="1:4" x14ac:dyDescent="0.25">
      <c r="A1167" t="str">
        <f>T("   ZZZ_Monde")</f>
        <v xml:space="preserve">   ZZZ_Monde</v>
      </c>
      <c r="B1167" t="str">
        <f>T("   ZZZ_Monde")</f>
        <v xml:space="preserve">   ZZZ_Monde</v>
      </c>
      <c r="C1167">
        <v>52286426</v>
      </c>
      <c r="D1167">
        <v>32916</v>
      </c>
    </row>
    <row r="1168" spans="1:4" x14ac:dyDescent="0.25">
      <c r="A1168" t="str">
        <f>T("   ML")</f>
        <v xml:space="preserve">   ML</v>
      </c>
      <c r="B1168" t="str">
        <f>T("   Mali")</f>
        <v xml:space="preserve">   Mali</v>
      </c>
      <c r="C1168">
        <v>52286426</v>
      </c>
      <c r="D1168">
        <v>32916</v>
      </c>
    </row>
    <row r="1169" spans="1:4" x14ac:dyDescent="0.25">
      <c r="A1169" t="str">
        <f>T("760719")</f>
        <v>760719</v>
      </c>
      <c r="B1169" t="str">
        <f>T("Feuilles et bandes minces d'aluminium, sans support, laminées et autrement traitées, d'une épaisseur &lt;= 0,2 mm (sauf feuilles pour le marquage au fer du n° 3212 et sauf feuilles travaillées pour la décoration des sapins de Noël)")</f>
        <v>Feuilles et bandes minces d'aluminium, sans support, laminées et autrement traitées, d'une épaisseur &lt;= 0,2 mm (sauf feuilles pour le marquage au fer du n° 3212 et sauf feuilles travaillées pour la décoration des sapins de Noël)</v>
      </c>
    </row>
    <row r="1170" spans="1:4" x14ac:dyDescent="0.25">
      <c r="A1170" t="str">
        <f>T("   ZZZ_Monde")</f>
        <v xml:space="preserve">   ZZZ_Monde</v>
      </c>
      <c r="B1170" t="str">
        <f>T("   ZZZ_Monde")</f>
        <v xml:space="preserve">   ZZZ_Monde</v>
      </c>
      <c r="C1170">
        <v>11028000</v>
      </c>
      <c r="D1170">
        <v>745</v>
      </c>
    </row>
    <row r="1171" spans="1:4" x14ac:dyDescent="0.25">
      <c r="A1171" t="str">
        <f>T("   NE")</f>
        <v xml:space="preserve">   NE</v>
      </c>
      <c r="B1171" t="str">
        <f>T("   Niger")</f>
        <v xml:space="preserve">   Niger</v>
      </c>
      <c r="C1171">
        <v>10200000</v>
      </c>
      <c r="D1171">
        <v>670</v>
      </c>
    </row>
    <row r="1172" spans="1:4" x14ac:dyDescent="0.25">
      <c r="A1172" t="str">
        <f>T("   NL")</f>
        <v xml:space="preserve">   NL</v>
      </c>
      <c r="B1172" t="str">
        <f>T("   Pays-bas")</f>
        <v xml:space="preserve">   Pays-bas</v>
      </c>
      <c r="C1172">
        <v>828000</v>
      </c>
      <c r="D1172">
        <v>75</v>
      </c>
    </row>
    <row r="1173" spans="1:4" x14ac:dyDescent="0.25">
      <c r="A1173" t="str">
        <f>T("761090")</f>
        <v>761090</v>
      </c>
      <c r="B1173" t="str">
        <f>T("Constructions et parties de constructions, en aluminium, n.d.a., ainsi que tôles, barres, profilés, tubes, tuyaux et simil., en aluminium, n.d.a; (sauf constructions préfabriquées du n° 9406, portes, fenêtres et leurs cadres, chambranles et seuils)")</f>
        <v>Constructions et parties de constructions, en aluminium, n.d.a., ainsi que tôles, barres, profilés, tubes, tuyaux et simil., en aluminium, n.d.a; (sauf constructions préfabriquées du n° 9406, portes, fenêtres et leurs cadres, chambranles et seuils)</v>
      </c>
    </row>
    <row r="1174" spans="1:4" x14ac:dyDescent="0.25">
      <c r="A1174" t="str">
        <f>T("   ZZZ_Monde")</f>
        <v xml:space="preserve">   ZZZ_Monde</v>
      </c>
      <c r="B1174" t="str">
        <f>T("   ZZZ_Monde")</f>
        <v xml:space="preserve">   ZZZ_Monde</v>
      </c>
      <c r="C1174">
        <v>4647833</v>
      </c>
      <c r="D1174">
        <v>69400</v>
      </c>
    </row>
    <row r="1175" spans="1:4" x14ac:dyDescent="0.25">
      <c r="A1175" t="str">
        <f>T("   CN")</f>
        <v xml:space="preserve">   CN</v>
      </c>
      <c r="B1175" t="str">
        <f>T("   Chine")</f>
        <v xml:space="preserve">   Chine</v>
      </c>
      <c r="C1175">
        <v>710000</v>
      </c>
      <c r="D1175">
        <v>2000</v>
      </c>
    </row>
    <row r="1176" spans="1:4" x14ac:dyDescent="0.25">
      <c r="A1176" t="str">
        <f>T("   GQ")</f>
        <v xml:space="preserve">   GQ</v>
      </c>
      <c r="B1176" t="str">
        <f>T("   Guinée Equatoriale")</f>
        <v xml:space="preserve">   Guinée Equatoriale</v>
      </c>
      <c r="C1176">
        <v>470000</v>
      </c>
      <c r="D1176">
        <v>100</v>
      </c>
    </row>
    <row r="1177" spans="1:4" x14ac:dyDescent="0.25">
      <c r="A1177" t="str">
        <f>T("   NE")</f>
        <v xml:space="preserve">   NE</v>
      </c>
      <c r="B1177" t="str">
        <f>T("   Niger")</f>
        <v xml:space="preserve">   Niger</v>
      </c>
      <c r="C1177">
        <v>1874566</v>
      </c>
      <c r="D1177">
        <v>900</v>
      </c>
    </row>
    <row r="1178" spans="1:4" x14ac:dyDescent="0.25">
      <c r="A1178" t="str">
        <f>T("   ZA")</f>
        <v xml:space="preserve">   ZA</v>
      </c>
      <c r="B1178" t="str">
        <f>T("   Afrique du Sud")</f>
        <v xml:space="preserve">   Afrique du Sud</v>
      </c>
      <c r="C1178">
        <v>1593267</v>
      </c>
      <c r="D1178">
        <v>66400</v>
      </c>
    </row>
    <row r="1179" spans="1:4" x14ac:dyDescent="0.25">
      <c r="A1179" t="str">
        <f>T("761519")</f>
        <v>761519</v>
      </c>
      <c r="B1179" t="str">
        <f>T("Articles de ménage, d'économie domestique, et leurs parties, en aluminium (sauf éponges, torchons, gants et articles simil.; bidons, boîtes et récipients simil. du n° 7612; articles ayant le caractère d'outils, cuillers, louches, fourchettes et articles a")</f>
        <v>Articles de ménage, d'économie domestique, et leurs parties, en aluminium (sauf éponges, torchons, gants et articles simil.; bidons, boîtes et récipients simil. du n° 7612; articles ayant le caractère d'outils, cuillers, louches, fourchettes et articles a</v>
      </c>
    </row>
    <row r="1180" spans="1:4" x14ac:dyDescent="0.25">
      <c r="A1180" t="str">
        <f>T("   ZZZ_Monde")</f>
        <v xml:space="preserve">   ZZZ_Monde</v>
      </c>
      <c r="B1180" t="str">
        <f>T("   ZZZ_Monde")</f>
        <v xml:space="preserve">   ZZZ_Monde</v>
      </c>
      <c r="C1180">
        <v>250000</v>
      </c>
      <c r="D1180">
        <v>200</v>
      </c>
    </row>
    <row r="1181" spans="1:4" x14ac:dyDescent="0.25">
      <c r="A1181" t="str">
        <f>T("   GA")</f>
        <v xml:space="preserve">   GA</v>
      </c>
      <c r="B1181" t="str">
        <f>T("   Gabon")</f>
        <v xml:space="preserve">   Gabon</v>
      </c>
      <c r="C1181">
        <v>250000</v>
      </c>
      <c r="D1181">
        <v>200</v>
      </c>
    </row>
    <row r="1182" spans="1:4" x14ac:dyDescent="0.25">
      <c r="A1182" t="str">
        <f>T("820510")</f>
        <v>820510</v>
      </c>
      <c r="B1182" t="str">
        <f>T("Outils de perçage, de filetage ou de taraudage, maniés à la main")</f>
        <v>Outils de perçage, de filetage ou de taraudage, maniés à la main</v>
      </c>
    </row>
    <row r="1183" spans="1:4" x14ac:dyDescent="0.25">
      <c r="A1183" t="str">
        <f>T("   ZZZ_Monde")</f>
        <v xml:space="preserve">   ZZZ_Monde</v>
      </c>
      <c r="B1183" t="str">
        <f>T("   ZZZ_Monde")</f>
        <v xml:space="preserve">   ZZZ_Monde</v>
      </c>
      <c r="C1183">
        <v>21089901</v>
      </c>
      <c r="D1183">
        <v>340</v>
      </c>
    </row>
    <row r="1184" spans="1:4" x14ac:dyDescent="0.25">
      <c r="A1184" t="str">
        <f>T("   AT")</f>
        <v xml:space="preserve">   AT</v>
      </c>
      <c r="B1184" t="str">
        <f>T("   Autriche")</f>
        <v xml:space="preserve">   Autriche</v>
      </c>
      <c r="C1184">
        <v>21089901</v>
      </c>
      <c r="D1184">
        <v>340</v>
      </c>
    </row>
    <row r="1185" spans="1:4" x14ac:dyDescent="0.25">
      <c r="A1185" t="str">
        <f>T("820559")</f>
        <v>820559</v>
      </c>
      <c r="B1185" t="str">
        <f>T("Outils à main, y.c. -les diamants de vitrier-, en métaux communs, n.d.a.")</f>
        <v>Outils à main, y.c. -les diamants de vitrier-, en métaux communs, n.d.a.</v>
      </c>
    </row>
    <row r="1186" spans="1:4" x14ac:dyDescent="0.25">
      <c r="A1186" t="str">
        <f>T("   ZZZ_Monde")</f>
        <v xml:space="preserve">   ZZZ_Monde</v>
      </c>
      <c r="B1186" t="str">
        <f>T("   ZZZ_Monde")</f>
        <v xml:space="preserve">   ZZZ_Monde</v>
      </c>
      <c r="C1186">
        <v>80187390</v>
      </c>
      <c r="D1186">
        <v>94387</v>
      </c>
    </row>
    <row r="1187" spans="1:4" x14ac:dyDescent="0.25">
      <c r="A1187" t="str">
        <f>T("   CN")</f>
        <v xml:space="preserve">   CN</v>
      </c>
      <c r="B1187" t="str">
        <f>T("   Chine")</f>
        <v xml:space="preserve">   Chine</v>
      </c>
      <c r="C1187">
        <v>15080520</v>
      </c>
      <c r="D1187">
        <v>6685</v>
      </c>
    </row>
    <row r="1188" spans="1:4" x14ac:dyDescent="0.25">
      <c r="A1188" t="str">
        <f>T("   GH")</f>
        <v xml:space="preserve">   GH</v>
      </c>
      <c r="B1188" t="str">
        <f>T("   Ghana")</f>
        <v xml:space="preserve">   Ghana</v>
      </c>
      <c r="C1188">
        <v>62655331</v>
      </c>
      <c r="D1188">
        <v>83202</v>
      </c>
    </row>
    <row r="1189" spans="1:4" x14ac:dyDescent="0.25">
      <c r="A1189" t="str">
        <f>T("   JP")</f>
        <v xml:space="preserve">   JP</v>
      </c>
      <c r="B1189" t="str">
        <f>T("   Japon")</f>
        <v xml:space="preserve">   Japon</v>
      </c>
      <c r="C1189">
        <v>2451539</v>
      </c>
      <c r="D1189">
        <v>4500</v>
      </c>
    </row>
    <row r="1190" spans="1:4" x14ac:dyDescent="0.25">
      <c r="A1190" t="str">
        <f>T("820719")</f>
        <v>820719</v>
      </c>
      <c r="B1190" t="str">
        <f>T("Outils de forage ou de sondage, interchangeables, et leurs parties, avec partie travaillante en matières autres qu'en carbures métalliques frittés ou en cermets")</f>
        <v>Outils de forage ou de sondage, interchangeables, et leurs parties, avec partie travaillante en matières autres qu'en carbures métalliques frittés ou en cermets</v>
      </c>
    </row>
    <row r="1191" spans="1:4" x14ac:dyDescent="0.25">
      <c r="A1191" t="str">
        <f>T("   ZZZ_Monde")</f>
        <v xml:space="preserve">   ZZZ_Monde</v>
      </c>
      <c r="B1191" t="str">
        <f>T("   ZZZ_Monde")</f>
        <v xml:space="preserve">   ZZZ_Monde</v>
      </c>
      <c r="C1191">
        <v>17377480</v>
      </c>
      <c r="D1191">
        <v>13200</v>
      </c>
    </row>
    <row r="1192" spans="1:4" x14ac:dyDescent="0.25">
      <c r="A1192" t="str">
        <f>T("   GH")</f>
        <v xml:space="preserve">   GH</v>
      </c>
      <c r="B1192" t="str">
        <f>T("   Ghana")</f>
        <v xml:space="preserve">   Ghana</v>
      </c>
      <c r="C1192">
        <v>17377480</v>
      </c>
      <c r="D1192">
        <v>13200</v>
      </c>
    </row>
    <row r="1193" spans="1:4" x14ac:dyDescent="0.25">
      <c r="A1193" t="str">
        <f>T("820790")</f>
        <v>820790</v>
      </c>
      <c r="B1193" t="str">
        <f>T("Outils interchangeables pour outillage à main, mécanique ou non, ou pour machines-outils, n.d.a.")</f>
        <v>Outils interchangeables pour outillage à main, mécanique ou non, ou pour machines-outils, n.d.a.</v>
      </c>
    </row>
    <row r="1194" spans="1:4" x14ac:dyDescent="0.25">
      <c r="A1194" t="str">
        <f>T("   ZZZ_Monde")</f>
        <v xml:space="preserve">   ZZZ_Monde</v>
      </c>
      <c r="B1194" t="str">
        <f>T("   ZZZ_Monde")</f>
        <v xml:space="preserve">   ZZZ_Monde</v>
      </c>
      <c r="C1194">
        <v>20597144</v>
      </c>
      <c r="D1194">
        <v>2400</v>
      </c>
    </row>
    <row r="1195" spans="1:4" x14ac:dyDescent="0.25">
      <c r="A1195" t="str">
        <f>T("   FR")</f>
        <v xml:space="preserve">   FR</v>
      </c>
      <c r="B1195" t="str">
        <f>T("   France")</f>
        <v xml:space="preserve">   France</v>
      </c>
      <c r="C1195">
        <v>20597144</v>
      </c>
      <c r="D1195">
        <v>2400</v>
      </c>
    </row>
    <row r="1196" spans="1:4" x14ac:dyDescent="0.25">
      <c r="A1196" t="str">
        <f>T("830910")</f>
        <v>830910</v>
      </c>
      <c r="B1196" t="str">
        <f>T("Bouchons-couronnes en métaux communs")</f>
        <v>Bouchons-couronnes en métaux communs</v>
      </c>
    </row>
    <row r="1197" spans="1:4" x14ac:dyDescent="0.25">
      <c r="A1197" t="str">
        <f>T("   ZZZ_Monde")</f>
        <v xml:space="preserve">   ZZZ_Monde</v>
      </c>
      <c r="B1197" t="str">
        <f>T("   ZZZ_Monde")</f>
        <v xml:space="preserve">   ZZZ_Monde</v>
      </c>
      <c r="C1197">
        <v>3354120</v>
      </c>
      <c r="D1197">
        <v>1483</v>
      </c>
    </row>
    <row r="1198" spans="1:4" x14ac:dyDescent="0.25">
      <c r="A1198" t="str">
        <f>T("   TG")</f>
        <v xml:space="preserve">   TG</v>
      </c>
      <c r="B1198" t="str">
        <f>T("   Togo")</f>
        <v xml:space="preserve">   Togo</v>
      </c>
      <c r="C1198">
        <v>3354120</v>
      </c>
      <c r="D1198">
        <v>1483</v>
      </c>
    </row>
    <row r="1199" spans="1:4" x14ac:dyDescent="0.25">
      <c r="A1199" t="str">
        <f>T("830990")</f>
        <v>830990</v>
      </c>
      <c r="B1199" t="str">
        <f>T("Bouchons [y.c. les bouchons à pas de vis et les bouchons-verseurs], couvercles, capsules pour bouteilles, bondes filetées, plaques de bondes, scellés et autres accessoires d'emballage, en métaux communs (à l'excl. des bouchons-couronnes)")</f>
        <v>Bouchons [y.c. les bouchons à pas de vis et les bouchons-verseurs], couvercles, capsules pour bouteilles, bondes filetées, plaques de bondes, scellés et autres accessoires d'emballage, en métaux communs (à l'excl. des bouchons-couronnes)</v>
      </c>
    </row>
    <row r="1200" spans="1:4" x14ac:dyDescent="0.25">
      <c r="A1200" t="str">
        <f>T("   ZZZ_Monde")</f>
        <v xml:space="preserve">   ZZZ_Monde</v>
      </c>
      <c r="B1200" t="str">
        <f>T("   ZZZ_Monde")</f>
        <v xml:space="preserve">   ZZZ_Monde</v>
      </c>
      <c r="C1200">
        <v>179078</v>
      </c>
      <c r="D1200">
        <v>280</v>
      </c>
    </row>
    <row r="1201" spans="1:4" x14ac:dyDescent="0.25">
      <c r="A1201" t="str">
        <f>T("   LY")</f>
        <v xml:space="preserve">   LY</v>
      </c>
      <c r="B1201" t="str">
        <f>T("   Libyenne, Jamahiriya Arabe")</f>
        <v xml:space="preserve">   Libyenne, Jamahiriya Arabe</v>
      </c>
      <c r="C1201">
        <v>179078</v>
      </c>
      <c r="D1201">
        <v>280</v>
      </c>
    </row>
    <row r="1202" spans="1:4" x14ac:dyDescent="0.25">
      <c r="A1202" t="str">
        <f>T("840110")</f>
        <v>840110</v>
      </c>
      <c r="B1202" t="str">
        <f>T("RÉACTEURS NUCLÉAIRES 'EURATOM'")</f>
        <v>RÉACTEURS NUCLÉAIRES 'EURATOM'</v>
      </c>
    </row>
    <row r="1203" spans="1:4" x14ac:dyDescent="0.25">
      <c r="A1203" t="str">
        <f>T("   ZZZ_Monde")</f>
        <v xml:space="preserve">   ZZZ_Monde</v>
      </c>
      <c r="B1203" t="str">
        <f>T("   ZZZ_Monde")</f>
        <v xml:space="preserve">   ZZZ_Monde</v>
      </c>
      <c r="C1203">
        <v>2688638</v>
      </c>
      <c r="D1203">
        <v>13500</v>
      </c>
    </row>
    <row r="1204" spans="1:4" x14ac:dyDescent="0.25">
      <c r="A1204" t="str">
        <f>T("   US")</f>
        <v xml:space="preserve">   US</v>
      </c>
      <c r="B1204" t="str">
        <f>T("   Etats-Unis")</f>
        <v xml:space="preserve">   Etats-Unis</v>
      </c>
      <c r="C1204">
        <v>2688638</v>
      </c>
      <c r="D1204">
        <v>13500</v>
      </c>
    </row>
    <row r="1205" spans="1:4" x14ac:dyDescent="0.25">
      <c r="A1205" t="str">
        <f>T("840790")</f>
        <v>840790</v>
      </c>
      <c r="B1205" t="s">
        <v>13</v>
      </c>
    </row>
    <row r="1206" spans="1:4" x14ac:dyDescent="0.25">
      <c r="A1206" t="str">
        <f>T("   ZZZ_Monde")</f>
        <v xml:space="preserve">   ZZZ_Monde</v>
      </c>
      <c r="B1206" t="str">
        <f>T("   ZZZ_Monde")</f>
        <v xml:space="preserve">   ZZZ_Monde</v>
      </c>
      <c r="C1206">
        <v>426285</v>
      </c>
      <c r="D1206">
        <v>250</v>
      </c>
    </row>
    <row r="1207" spans="1:4" x14ac:dyDescent="0.25">
      <c r="A1207" t="str">
        <f>T("   CI")</f>
        <v xml:space="preserve">   CI</v>
      </c>
      <c r="B1207" t="str">
        <f>T("   Côte d'Ivoire")</f>
        <v xml:space="preserve">   Côte d'Ivoire</v>
      </c>
      <c r="C1207">
        <v>426285</v>
      </c>
      <c r="D1207">
        <v>250</v>
      </c>
    </row>
    <row r="1208" spans="1:4" x14ac:dyDescent="0.25">
      <c r="A1208" t="str">
        <f>T("840820")</f>
        <v>840820</v>
      </c>
      <c r="B1208" t="s">
        <v>14</v>
      </c>
    </row>
    <row r="1209" spans="1:4" x14ac:dyDescent="0.25">
      <c r="A1209" t="str">
        <f>T("   ZZZ_Monde")</f>
        <v xml:space="preserve">   ZZZ_Monde</v>
      </c>
      <c r="B1209" t="str">
        <f>T("   ZZZ_Monde")</f>
        <v xml:space="preserve">   ZZZ_Monde</v>
      </c>
      <c r="C1209">
        <v>960000</v>
      </c>
      <c r="D1209">
        <v>1000</v>
      </c>
    </row>
    <row r="1210" spans="1:4" x14ac:dyDescent="0.25">
      <c r="A1210" t="str">
        <f>T("   GQ")</f>
        <v xml:space="preserve">   GQ</v>
      </c>
      <c r="B1210" t="str">
        <f>T("   Guinée Equatoriale")</f>
        <v xml:space="preserve">   Guinée Equatoriale</v>
      </c>
      <c r="C1210">
        <v>960000</v>
      </c>
      <c r="D1210">
        <v>1000</v>
      </c>
    </row>
    <row r="1211" spans="1:4" x14ac:dyDescent="0.25">
      <c r="A1211" t="str">
        <f>T("840890")</f>
        <v>840890</v>
      </c>
      <c r="B1211" t="s">
        <v>15</v>
      </c>
    </row>
    <row r="1212" spans="1:4" x14ac:dyDescent="0.25">
      <c r="A1212" t="str">
        <f>T("   ZZZ_Monde")</f>
        <v xml:space="preserve">   ZZZ_Monde</v>
      </c>
      <c r="B1212" t="str">
        <f>T("   ZZZ_Monde")</f>
        <v xml:space="preserve">   ZZZ_Monde</v>
      </c>
      <c r="C1212">
        <v>7010238</v>
      </c>
      <c r="D1212">
        <v>9770</v>
      </c>
    </row>
    <row r="1213" spans="1:4" x14ac:dyDescent="0.25">
      <c r="A1213" t="str">
        <f>T("   BE")</f>
        <v xml:space="preserve">   BE</v>
      </c>
      <c r="B1213" t="str">
        <f>T("   Belgique")</f>
        <v xml:space="preserve">   Belgique</v>
      </c>
      <c r="C1213">
        <v>5100238</v>
      </c>
      <c r="D1213">
        <v>7045</v>
      </c>
    </row>
    <row r="1214" spans="1:4" x14ac:dyDescent="0.25">
      <c r="A1214" t="str">
        <f>T("   CG")</f>
        <v xml:space="preserve">   CG</v>
      </c>
      <c r="B1214" t="str">
        <f>T("   Congo (Brazzaville)")</f>
        <v xml:space="preserve">   Congo (Brazzaville)</v>
      </c>
      <c r="C1214">
        <v>150000</v>
      </c>
      <c r="D1214">
        <v>350</v>
      </c>
    </row>
    <row r="1215" spans="1:4" x14ac:dyDescent="0.25">
      <c r="A1215" t="str">
        <f>T("   GN")</f>
        <v xml:space="preserve">   GN</v>
      </c>
      <c r="B1215" t="str">
        <f>T("   Guinée")</f>
        <v xml:space="preserve">   Guinée</v>
      </c>
      <c r="C1215">
        <v>910000</v>
      </c>
      <c r="D1215">
        <v>1400</v>
      </c>
    </row>
    <row r="1216" spans="1:4" x14ac:dyDescent="0.25">
      <c r="A1216" t="str">
        <f>T("   GQ")</f>
        <v xml:space="preserve">   GQ</v>
      </c>
      <c r="B1216" t="str">
        <f>T("   Guinée Equatoriale")</f>
        <v xml:space="preserve">   Guinée Equatoriale</v>
      </c>
      <c r="C1216">
        <v>850000</v>
      </c>
      <c r="D1216">
        <v>975</v>
      </c>
    </row>
    <row r="1217" spans="1:4" x14ac:dyDescent="0.25">
      <c r="A1217" t="str">
        <f>T("841319")</f>
        <v>841319</v>
      </c>
      <c r="B1217" t="str">
        <f>T("Pompes pour liquides, avec dispositif mesureur ou conçues pour en comporter (sauf pompes pour la distribution de carburants ou lubrifiants, des types utilisés dans les stations-service ou les garages)")</f>
        <v>Pompes pour liquides, avec dispositif mesureur ou conçues pour en comporter (sauf pompes pour la distribution de carburants ou lubrifiants, des types utilisés dans les stations-service ou les garages)</v>
      </c>
    </row>
    <row r="1218" spans="1:4" x14ac:dyDescent="0.25">
      <c r="A1218" t="str">
        <f>T("   ZZZ_Monde")</f>
        <v xml:space="preserve">   ZZZ_Monde</v>
      </c>
      <c r="B1218" t="str">
        <f>T("   ZZZ_Monde")</f>
        <v xml:space="preserve">   ZZZ_Monde</v>
      </c>
      <c r="C1218">
        <v>2489480</v>
      </c>
      <c r="D1218">
        <v>680</v>
      </c>
    </row>
    <row r="1219" spans="1:4" x14ac:dyDescent="0.25">
      <c r="A1219" t="str">
        <f>T("   CM")</f>
        <v xml:space="preserve">   CM</v>
      </c>
      <c r="B1219" t="str">
        <f>T("   Cameroun")</f>
        <v xml:space="preserve">   Cameroun</v>
      </c>
      <c r="C1219">
        <v>2489480</v>
      </c>
      <c r="D1219">
        <v>680</v>
      </c>
    </row>
    <row r="1220" spans="1:4" x14ac:dyDescent="0.25">
      <c r="A1220" t="str">
        <f>T("841320")</f>
        <v>841320</v>
      </c>
      <c r="B1220" t="str">
        <f>T("Pompes à bras pour liquides (sauf les pompes avec dispositif mesureur ou conçues pour en comporter du n° 8413.11 ou 8413.19)")</f>
        <v>Pompes à bras pour liquides (sauf les pompes avec dispositif mesureur ou conçues pour en comporter du n° 8413.11 ou 8413.19)</v>
      </c>
    </row>
    <row r="1221" spans="1:4" x14ac:dyDescent="0.25">
      <c r="A1221" t="str">
        <f>T("   ZZZ_Monde")</f>
        <v xml:space="preserve">   ZZZ_Monde</v>
      </c>
      <c r="B1221" t="str">
        <f>T("   ZZZ_Monde")</f>
        <v xml:space="preserve">   ZZZ_Monde</v>
      </c>
      <c r="C1221">
        <v>988269</v>
      </c>
      <c r="D1221">
        <v>42</v>
      </c>
    </row>
    <row r="1222" spans="1:4" x14ac:dyDescent="0.25">
      <c r="A1222" t="str">
        <f>T("   BF")</f>
        <v xml:space="preserve">   BF</v>
      </c>
      <c r="B1222" t="str">
        <f>T("   Burkina Faso")</f>
        <v xml:space="preserve">   Burkina Faso</v>
      </c>
      <c r="C1222">
        <v>988269</v>
      </c>
      <c r="D1222">
        <v>42</v>
      </c>
    </row>
    <row r="1223" spans="1:4" x14ac:dyDescent="0.25">
      <c r="A1223" t="str">
        <f>T("841370")</f>
        <v>841370</v>
      </c>
      <c r="B1223" t="str">
        <f>T("Pompes pour liquides centrifuges, à moteur (sauf pompes à dispositif mesureur ou conçues pour en comporter du n° 8413.11 ou 8413.19, pompes à carburant, à huile ou à liquide de refroidissement pour moteurs à allumage par étincelles ou par compression et s")</f>
        <v>Pompes pour liquides centrifuges, à moteur (sauf pompes à dispositif mesureur ou conçues pour en comporter du n° 8413.11 ou 8413.19, pompes à carburant, à huile ou à liquide de refroidissement pour moteurs à allumage par étincelles ou par compression et s</v>
      </c>
    </row>
    <row r="1224" spans="1:4" x14ac:dyDescent="0.25">
      <c r="A1224" t="str">
        <f>T("   ZZZ_Monde")</f>
        <v xml:space="preserve">   ZZZ_Monde</v>
      </c>
      <c r="B1224" t="str">
        <f>T("   ZZZ_Monde")</f>
        <v xml:space="preserve">   ZZZ_Monde</v>
      </c>
      <c r="C1224">
        <v>322910</v>
      </c>
      <c r="D1224">
        <v>1055</v>
      </c>
    </row>
    <row r="1225" spans="1:4" x14ac:dyDescent="0.25">
      <c r="A1225" t="str">
        <f>T("   CI")</f>
        <v xml:space="preserve">   CI</v>
      </c>
      <c r="B1225" t="str">
        <f>T("   Côte d'Ivoire")</f>
        <v xml:space="preserve">   Côte d'Ivoire</v>
      </c>
      <c r="C1225">
        <v>322910</v>
      </c>
      <c r="D1225">
        <v>1055</v>
      </c>
    </row>
    <row r="1226" spans="1:4" x14ac:dyDescent="0.25">
      <c r="A1226" t="str">
        <f>T("841381")</f>
        <v>841381</v>
      </c>
      <c r="B1226" t="str">
        <f>T("Pompes pour liquides à moteur (sauf pompes à dispositif mesureur ou conçues pour en comporter du n° 8413.11 ou 8413.19, pompes à carburant, à huile ou à liquide de refroidissement pour moteurs à allumage par étincelles ou par compression, pompes à béton,")</f>
        <v>Pompes pour liquides à moteur (sauf pompes à dispositif mesureur ou conçues pour en comporter du n° 8413.11 ou 8413.19, pompes à carburant, à huile ou à liquide de refroidissement pour moteurs à allumage par étincelles ou par compression, pompes à béton,</v>
      </c>
    </row>
    <row r="1227" spans="1:4" x14ac:dyDescent="0.25">
      <c r="A1227" t="str">
        <f>T("   ZZZ_Monde")</f>
        <v xml:space="preserve">   ZZZ_Monde</v>
      </c>
      <c r="B1227" t="str">
        <f>T("   ZZZ_Monde")</f>
        <v xml:space="preserve">   ZZZ_Monde</v>
      </c>
      <c r="C1227">
        <v>90027233</v>
      </c>
      <c r="D1227">
        <v>23604</v>
      </c>
    </row>
    <row r="1228" spans="1:4" x14ac:dyDescent="0.25">
      <c r="A1228" t="str">
        <f>T("   BF")</f>
        <v xml:space="preserve">   BF</v>
      </c>
      <c r="B1228" t="str">
        <f>T("   Burkina Faso")</f>
        <v xml:space="preserve">   Burkina Faso</v>
      </c>
      <c r="C1228">
        <v>4147307</v>
      </c>
      <c r="D1228">
        <v>235</v>
      </c>
    </row>
    <row r="1229" spans="1:4" x14ac:dyDescent="0.25">
      <c r="A1229" t="str">
        <f>T("   CI")</f>
        <v xml:space="preserve">   CI</v>
      </c>
      <c r="B1229" t="str">
        <f>T("   Côte d'Ivoire")</f>
        <v xml:space="preserve">   Côte d'Ivoire</v>
      </c>
      <c r="C1229">
        <v>159857</v>
      </c>
      <c r="D1229">
        <v>50</v>
      </c>
    </row>
    <row r="1230" spans="1:4" x14ac:dyDescent="0.25">
      <c r="A1230" t="str">
        <f>T("   CN")</f>
        <v xml:space="preserve">   CN</v>
      </c>
      <c r="B1230" t="str">
        <f>T("   Chine")</f>
        <v xml:space="preserve">   Chine</v>
      </c>
      <c r="C1230">
        <v>1916770</v>
      </c>
      <c r="D1230">
        <v>1693</v>
      </c>
    </row>
    <row r="1231" spans="1:4" x14ac:dyDescent="0.25">
      <c r="A1231" t="str">
        <f>T("   JP")</f>
        <v xml:space="preserve">   JP</v>
      </c>
      <c r="B1231" t="str">
        <f>T("   Japon")</f>
        <v xml:space="preserve">   Japon</v>
      </c>
      <c r="C1231">
        <v>83803299</v>
      </c>
      <c r="D1231">
        <v>21626</v>
      </c>
    </row>
    <row r="1232" spans="1:4" x14ac:dyDescent="0.25">
      <c r="A1232" t="str">
        <f>T("841440")</f>
        <v>841440</v>
      </c>
      <c r="B1232" t="str">
        <f>T("Compresseurs d'air montés sur châssis à roues et remorquables")</f>
        <v>Compresseurs d'air montés sur châssis à roues et remorquables</v>
      </c>
    </row>
    <row r="1233" spans="1:4" x14ac:dyDescent="0.25">
      <c r="A1233" t="str">
        <f>T("   ZZZ_Monde")</f>
        <v xml:space="preserve">   ZZZ_Monde</v>
      </c>
      <c r="B1233" t="str">
        <f>T("   ZZZ_Monde")</f>
        <v xml:space="preserve">   ZZZ_Monde</v>
      </c>
      <c r="C1233">
        <v>17009874</v>
      </c>
      <c r="D1233">
        <v>3213</v>
      </c>
    </row>
    <row r="1234" spans="1:4" x14ac:dyDescent="0.25">
      <c r="A1234" t="str">
        <f>T("   CI")</f>
        <v xml:space="preserve">   CI</v>
      </c>
      <c r="B1234" t="str">
        <f>T("   Côte d'Ivoire")</f>
        <v xml:space="preserve">   Côte d'Ivoire</v>
      </c>
      <c r="C1234">
        <v>266428</v>
      </c>
      <c r="D1234">
        <v>150</v>
      </c>
    </row>
    <row r="1235" spans="1:4" x14ac:dyDescent="0.25">
      <c r="A1235" t="str">
        <f>T("   GA")</f>
        <v xml:space="preserve">   GA</v>
      </c>
      <c r="B1235" t="str">
        <f>T("   Gabon")</f>
        <v xml:space="preserve">   Gabon</v>
      </c>
      <c r="C1235">
        <v>2500520</v>
      </c>
      <c r="D1235">
        <v>1000</v>
      </c>
    </row>
    <row r="1236" spans="1:4" x14ac:dyDescent="0.25">
      <c r="A1236" t="str">
        <f>T("   TG")</f>
        <v xml:space="preserve">   TG</v>
      </c>
      <c r="B1236" t="str">
        <f>T("   Togo")</f>
        <v xml:space="preserve">   Togo</v>
      </c>
      <c r="C1236">
        <v>14242926</v>
      </c>
      <c r="D1236">
        <v>2063</v>
      </c>
    </row>
    <row r="1237" spans="1:4" x14ac:dyDescent="0.25">
      <c r="A1237" t="str">
        <f>T("841459")</f>
        <v>841459</v>
      </c>
      <c r="B1237" t="str">
        <f>T("Ventilateurs (sauf ventilateurs de table, de sol, muraux, plafonniers, de toitures ou de fenêtres, à moteur électrique incorporé, d'une puissance &lt;= 125 W)")</f>
        <v>Ventilateurs (sauf ventilateurs de table, de sol, muraux, plafonniers, de toitures ou de fenêtres, à moteur électrique incorporé, d'une puissance &lt;= 125 W)</v>
      </c>
    </row>
    <row r="1238" spans="1:4" x14ac:dyDescent="0.25">
      <c r="A1238" t="str">
        <f>T("   ZZZ_Monde")</f>
        <v xml:space="preserve">   ZZZ_Monde</v>
      </c>
      <c r="B1238" t="str">
        <f>T("   ZZZ_Monde")</f>
        <v xml:space="preserve">   ZZZ_Monde</v>
      </c>
      <c r="C1238">
        <v>900000</v>
      </c>
      <c r="D1238">
        <v>107</v>
      </c>
    </row>
    <row r="1239" spans="1:4" x14ac:dyDescent="0.25">
      <c r="A1239" t="str">
        <f>T("   GQ")</f>
        <v xml:space="preserve">   GQ</v>
      </c>
      <c r="B1239" t="str">
        <f>T("   Guinée Equatoriale")</f>
        <v xml:space="preserve">   Guinée Equatoriale</v>
      </c>
      <c r="C1239">
        <v>900000</v>
      </c>
      <c r="D1239">
        <v>107</v>
      </c>
    </row>
    <row r="1240" spans="1:4" x14ac:dyDescent="0.25">
      <c r="A1240" t="str">
        <f>T("841829")</f>
        <v>841829</v>
      </c>
      <c r="B1240" t="str">
        <f>T("Réfrigérateurs ménagers à absorption, non-électriques")</f>
        <v>Réfrigérateurs ménagers à absorption, non-électriques</v>
      </c>
    </row>
    <row r="1241" spans="1:4" x14ac:dyDescent="0.25">
      <c r="A1241" t="str">
        <f>T("   ZZZ_Monde")</f>
        <v xml:space="preserve">   ZZZ_Monde</v>
      </c>
      <c r="B1241" t="str">
        <f>T("   ZZZ_Monde")</f>
        <v xml:space="preserve">   ZZZ_Monde</v>
      </c>
      <c r="C1241">
        <v>155605161</v>
      </c>
      <c r="D1241">
        <v>55700</v>
      </c>
    </row>
    <row r="1242" spans="1:4" x14ac:dyDescent="0.25">
      <c r="A1242" t="str">
        <f>T("   CM")</f>
        <v xml:space="preserve">   CM</v>
      </c>
      <c r="B1242" t="str">
        <f>T("   Cameroun")</f>
        <v xml:space="preserve">   Cameroun</v>
      </c>
      <c r="C1242">
        <v>1000000</v>
      </c>
      <c r="D1242">
        <v>3180</v>
      </c>
    </row>
    <row r="1243" spans="1:4" x14ac:dyDescent="0.25">
      <c r="A1243" t="str">
        <f>T("   LY")</f>
        <v xml:space="preserve">   LY</v>
      </c>
      <c r="B1243" t="str">
        <f>T("   Libyenne, Jamahiriya Arabe")</f>
        <v xml:space="preserve">   Libyenne, Jamahiriya Arabe</v>
      </c>
      <c r="C1243">
        <v>50000</v>
      </c>
      <c r="D1243">
        <v>20</v>
      </c>
    </row>
    <row r="1244" spans="1:4" x14ac:dyDescent="0.25">
      <c r="A1244" t="str">
        <f>T("   TG")</f>
        <v xml:space="preserve">   TG</v>
      </c>
      <c r="B1244" t="str">
        <f>T("   Togo")</f>
        <v xml:space="preserve">   Togo</v>
      </c>
      <c r="C1244">
        <v>154555161</v>
      </c>
      <c r="D1244">
        <v>52500</v>
      </c>
    </row>
    <row r="1245" spans="1:4" x14ac:dyDescent="0.25">
      <c r="A1245" t="str">
        <f>T("841981")</f>
        <v>841981</v>
      </c>
      <c r="B1245" t="str">
        <f>T("Appareils et dispositifs pour la préparation de boissons chaudes ou la cuisson ou le chauffage des aliments (sauf appareils domestiques)")</f>
        <v>Appareils et dispositifs pour la préparation de boissons chaudes ou la cuisson ou le chauffage des aliments (sauf appareils domestiques)</v>
      </c>
    </row>
    <row r="1246" spans="1:4" x14ac:dyDescent="0.25">
      <c r="A1246" t="str">
        <f>T("   ZZZ_Monde")</f>
        <v xml:space="preserve">   ZZZ_Monde</v>
      </c>
      <c r="B1246" t="str">
        <f>T("   ZZZ_Monde")</f>
        <v xml:space="preserve">   ZZZ_Monde</v>
      </c>
      <c r="C1246">
        <v>50000</v>
      </c>
      <c r="D1246">
        <v>8</v>
      </c>
    </row>
    <row r="1247" spans="1:4" x14ac:dyDescent="0.25">
      <c r="A1247" t="str">
        <f>T("   GQ")</f>
        <v xml:space="preserve">   GQ</v>
      </c>
      <c r="B1247" t="str">
        <f>T("   Guinée Equatoriale")</f>
        <v xml:space="preserve">   Guinée Equatoriale</v>
      </c>
      <c r="C1247">
        <v>50000</v>
      </c>
      <c r="D1247">
        <v>8</v>
      </c>
    </row>
    <row r="1248" spans="1:4" x14ac:dyDescent="0.25">
      <c r="A1248" t="str">
        <f>T("842549")</f>
        <v>842549</v>
      </c>
      <c r="B1248" t="str">
        <f>T("Crics et vérins, non hydrauliques")</f>
        <v>Crics et vérins, non hydrauliques</v>
      </c>
    </row>
    <row r="1249" spans="1:4" x14ac:dyDescent="0.25">
      <c r="A1249" t="str">
        <f>T("   ZZZ_Monde")</f>
        <v xml:space="preserve">   ZZZ_Monde</v>
      </c>
      <c r="B1249" t="str">
        <f>T("   ZZZ_Monde")</f>
        <v xml:space="preserve">   ZZZ_Monde</v>
      </c>
      <c r="C1249">
        <v>500000</v>
      </c>
      <c r="D1249">
        <v>1010</v>
      </c>
    </row>
    <row r="1250" spans="1:4" x14ac:dyDescent="0.25">
      <c r="A1250" t="str">
        <f>T("   AM")</f>
        <v xml:space="preserve">   AM</v>
      </c>
      <c r="B1250" t="str">
        <f>T("   Arménie")</f>
        <v xml:space="preserve">   Arménie</v>
      </c>
      <c r="C1250">
        <v>500000</v>
      </c>
      <c r="D1250">
        <v>1010</v>
      </c>
    </row>
    <row r="1251" spans="1:4" x14ac:dyDescent="0.25">
      <c r="A1251" t="str">
        <f>T("842612")</f>
        <v>842612</v>
      </c>
      <c r="B1251" t="str">
        <f>T("Portiques mobiles sur pneumatiques et chariots-cavaliers")</f>
        <v>Portiques mobiles sur pneumatiques et chariots-cavaliers</v>
      </c>
    </row>
    <row r="1252" spans="1:4" x14ac:dyDescent="0.25">
      <c r="A1252" t="str">
        <f>T("   ZZZ_Monde")</f>
        <v xml:space="preserve">   ZZZ_Monde</v>
      </c>
      <c r="B1252" t="str">
        <f>T("   ZZZ_Monde")</f>
        <v xml:space="preserve">   ZZZ_Monde</v>
      </c>
      <c r="C1252">
        <v>150000</v>
      </c>
      <c r="D1252">
        <v>100</v>
      </c>
    </row>
    <row r="1253" spans="1:4" x14ac:dyDescent="0.25">
      <c r="A1253" t="str">
        <f>T("   GA")</f>
        <v xml:space="preserve">   GA</v>
      </c>
      <c r="B1253" t="str">
        <f>T("   Gabon")</f>
        <v xml:space="preserve">   Gabon</v>
      </c>
      <c r="C1253">
        <v>150000</v>
      </c>
      <c r="D1253">
        <v>100</v>
      </c>
    </row>
    <row r="1254" spans="1:4" x14ac:dyDescent="0.25">
      <c r="A1254" t="str">
        <f>T("842620")</f>
        <v>842620</v>
      </c>
      <c r="B1254" t="str">
        <f>T("Grues à tour")</f>
        <v>Grues à tour</v>
      </c>
    </row>
    <row r="1255" spans="1:4" x14ac:dyDescent="0.25">
      <c r="A1255" t="str">
        <f>T("   ZZZ_Monde")</f>
        <v xml:space="preserve">   ZZZ_Monde</v>
      </c>
      <c r="B1255" t="str">
        <f>T("   ZZZ_Monde")</f>
        <v xml:space="preserve">   ZZZ_Monde</v>
      </c>
      <c r="C1255">
        <v>9925748</v>
      </c>
      <c r="D1255">
        <v>32000</v>
      </c>
    </row>
    <row r="1256" spans="1:4" x14ac:dyDescent="0.25">
      <c r="A1256" t="str">
        <f>T("   TG")</f>
        <v xml:space="preserve">   TG</v>
      </c>
      <c r="B1256" t="str">
        <f>T("   Togo")</f>
        <v xml:space="preserve">   Togo</v>
      </c>
      <c r="C1256">
        <v>9925748</v>
      </c>
      <c r="D1256">
        <v>32000</v>
      </c>
    </row>
    <row r="1257" spans="1:4" x14ac:dyDescent="0.25">
      <c r="A1257" t="str">
        <f>T("842649")</f>
        <v>842649</v>
      </c>
      <c r="B1257" t="str">
        <f>T("Bigues et chariots-grues et appareils autopropulsés (autres que sur pneumatiques et sauf chariots-cavaliers)")</f>
        <v>Bigues et chariots-grues et appareils autopropulsés (autres que sur pneumatiques et sauf chariots-cavaliers)</v>
      </c>
    </row>
    <row r="1258" spans="1:4" x14ac:dyDescent="0.25">
      <c r="A1258" t="str">
        <f>T("   ZZZ_Monde")</f>
        <v xml:space="preserve">   ZZZ_Monde</v>
      </c>
      <c r="B1258" t="str">
        <f>T("   ZZZ_Monde")</f>
        <v xml:space="preserve">   ZZZ_Monde</v>
      </c>
      <c r="C1258">
        <v>325595048</v>
      </c>
      <c r="D1258">
        <v>126879</v>
      </c>
    </row>
    <row r="1259" spans="1:4" x14ac:dyDescent="0.25">
      <c r="A1259" t="str">
        <f>T("   BF")</f>
        <v xml:space="preserve">   BF</v>
      </c>
      <c r="B1259" t="str">
        <f>T("   Burkina Faso")</f>
        <v xml:space="preserve">   Burkina Faso</v>
      </c>
      <c r="C1259">
        <v>22495000</v>
      </c>
      <c r="D1259">
        <v>29520</v>
      </c>
    </row>
    <row r="1260" spans="1:4" x14ac:dyDescent="0.25">
      <c r="A1260" t="str">
        <f>T("   TG")</f>
        <v xml:space="preserve">   TG</v>
      </c>
      <c r="B1260" t="str">
        <f>T("   Togo")</f>
        <v xml:space="preserve">   Togo</v>
      </c>
      <c r="C1260">
        <v>303100048</v>
      </c>
      <c r="D1260">
        <v>97359</v>
      </c>
    </row>
    <row r="1261" spans="1:4" x14ac:dyDescent="0.25">
      <c r="A1261" t="str">
        <f>T("842790")</f>
        <v>842790</v>
      </c>
      <c r="B1261" t="str">
        <f>T("Chariots de manutention munis d'un dispositif de levage mais non autopropulsés")</f>
        <v>Chariots de manutention munis d'un dispositif de levage mais non autopropulsés</v>
      </c>
    </row>
    <row r="1262" spans="1:4" x14ac:dyDescent="0.25">
      <c r="A1262" t="str">
        <f>T("   ZZZ_Monde")</f>
        <v xml:space="preserve">   ZZZ_Monde</v>
      </c>
      <c r="B1262" t="str">
        <f>T("   ZZZ_Monde")</f>
        <v xml:space="preserve">   ZZZ_Monde</v>
      </c>
      <c r="C1262">
        <v>13623827</v>
      </c>
      <c r="D1262">
        <v>13700</v>
      </c>
    </row>
    <row r="1263" spans="1:4" x14ac:dyDescent="0.25">
      <c r="A1263" t="str">
        <f>T("   NE")</f>
        <v xml:space="preserve">   NE</v>
      </c>
      <c r="B1263" t="str">
        <f>T("   Niger")</f>
        <v xml:space="preserve">   Niger</v>
      </c>
      <c r="C1263">
        <v>1850000</v>
      </c>
      <c r="D1263">
        <v>6500</v>
      </c>
    </row>
    <row r="1264" spans="1:4" x14ac:dyDescent="0.25">
      <c r="A1264" t="str">
        <f>T("   TG")</f>
        <v xml:space="preserve">   TG</v>
      </c>
      <c r="B1264" t="str">
        <f>T("   Togo")</f>
        <v xml:space="preserve">   Togo</v>
      </c>
      <c r="C1264">
        <v>11773827</v>
      </c>
      <c r="D1264">
        <v>7200</v>
      </c>
    </row>
    <row r="1265" spans="1:4" x14ac:dyDescent="0.25">
      <c r="A1265" t="str">
        <f>T("842839")</f>
        <v>842839</v>
      </c>
      <c r="B1265" t="str">
        <f>T("Appareils élévateurs, transporteurs ou convoyeurs pour marchandises, à action continue (autres que conçus pour mines au fond ou pour autres travaux souterrains, autres qu'à benne, à bande ou à courroie et autres que pneumatiques)")</f>
        <v>Appareils élévateurs, transporteurs ou convoyeurs pour marchandises, à action continue (autres que conçus pour mines au fond ou pour autres travaux souterrains, autres qu'à benne, à bande ou à courroie et autres que pneumatiques)</v>
      </c>
    </row>
    <row r="1266" spans="1:4" x14ac:dyDescent="0.25">
      <c r="A1266" t="str">
        <f>T("   ZZZ_Monde")</f>
        <v xml:space="preserve">   ZZZ_Monde</v>
      </c>
      <c r="B1266" t="str">
        <f>T("   ZZZ_Monde")</f>
        <v xml:space="preserve">   ZZZ_Monde</v>
      </c>
      <c r="C1266">
        <v>2000000</v>
      </c>
      <c r="D1266">
        <v>7000</v>
      </c>
    </row>
    <row r="1267" spans="1:4" x14ac:dyDescent="0.25">
      <c r="A1267" t="str">
        <f>T("   TG")</f>
        <v xml:space="preserve">   TG</v>
      </c>
      <c r="B1267" t="str">
        <f>T("   Togo")</f>
        <v xml:space="preserve">   Togo</v>
      </c>
      <c r="C1267">
        <v>2000000</v>
      </c>
      <c r="D1267">
        <v>7000</v>
      </c>
    </row>
    <row r="1268" spans="1:4" x14ac:dyDescent="0.25">
      <c r="A1268" t="str">
        <f>T("842911")</f>
        <v>842911</v>
      </c>
      <c r="B1268" t="str">
        <f>T("Bouteurs 'bulldozers' et bouteurs biais 'angledozers', à chenilles")</f>
        <v>Bouteurs 'bulldozers' et bouteurs biais 'angledozers', à chenilles</v>
      </c>
    </row>
    <row r="1269" spans="1:4" x14ac:dyDescent="0.25">
      <c r="A1269" t="str">
        <f>T("   ZZZ_Monde")</f>
        <v xml:space="preserve">   ZZZ_Monde</v>
      </c>
      <c r="B1269" t="str">
        <f>T("   ZZZ_Monde")</f>
        <v xml:space="preserve">   ZZZ_Monde</v>
      </c>
      <c r="C1269">
        <v>586697399</v>
      </c>
      <c r="D1269">
        <v>55928</v>
      </c>
    </row>
    <row r="1270" spans="1:4" x14ac:dyDescent="0.25">
      <c r="A1270" t="str">
        <f>T("   GH")</f>
        <v xml:space="preserve">   GH</v>
      </c>
      <c r="B1270" t="str">
        <f>T("   Ghana")</f>
        <v xml:space="preserve">   Ghana</v>
      </c>
      <c r="C1270">
        <v>206360175</v>
      </c>
      <c r="D1270">
        <v>36888</v>
      </c>
    </row>
    <row r="1271" spans="1:4" x14ac:dyDescent="0.25">
      <c r="A1271" t="str">
        <f>T("   TG")</f>
        <v xml:space="preserve">   TG</v>
      </c>
      <c r="B1271" t="str">
        <f>T("   Togo")</f>
        <v xml:space="preserve">   Togo</v>
      </c>
      <c r="C1271">
        <v>380337224</v>
      </c>
      <c r="D1271">
        <v>19040</v>
      </c>
    </row>
    <row r="1272" spans="1:4" x14ac:dyDescent="0.25">
      <c r="A1272" t="str">
        <f>T("842919")</f>
        <v>842919</v>
      </c>
      <c r="B1272" t="str">
        <f>T("Bouteurs 'bulldozers' et bouteurs biais 'angledozers', sur roues")</f>
        <v>Bouteurs 'bulldozers' et bouteurs biais 'angledozers', sur roues</v>
      </c>
    </row>
    <row r="1273" spans="1:4" x14ac:dyDescent="0.25">
      <c r="A1273" t="str">
        <f>T("   ZZZ_Monde")</f>
        <v xml:space="preserve">   ZZZ_Monde</v>
      </c>
      <c r="B1273" t="str">
        <f>T("   ZZZ_Monde")</f>
        <v xml:space="preserve">   ZZZ_Monde</v>
      </c>
      <c r="C1273">
        <v>454588819</v>
      </c>
      <c r="D1273">
        <v>198458</v>
      </c>
    </row>
    <row r="1274" spans="1:4" x14ac:dyDescent="0.25">
      <c r="A1274" t="str">
        <f>T("   CN")</f>
        <v xml:space="preserve">   CN</v>
      </c>
      <c r="B1274" t="str">
        <f>T("   Chine")</f>
        <v xml:space="preserve">   Chine</v>
      </c>
      <c r="C1274">
        <v>24724528</v>
      </c>
      <c r="D1274">
        <v>23000</v>
      </c>
    </row>
    <row r="1275" spans="1:4" x14ac:dyDescent="0.25">
      <c r="A1275" t="str">
        <f>T("   GH")</f>
        <v xml:space="preserve">   GH</v>
      </c>
      <c r="B1275" t="str">
        <f>T("   Ghana")</f>
        <v xml:space="preserve">   Ghana</v>
      </c>
      <c r="C1275">
        <v>97364227</v>
      </c>
      <c r="D1275">
        <v>109525</v>
      </c>
    </row>
    <row r="1276" spans="1:4" x14ac:dyDescent="0.25">
      <c r="A1276" t="str">
        <f>T("   NG")</f>
        <v xml:space="preserve">   NG</v>
      </c>
      <c r="B1276" t="str">
        <f>T("   Nigéria")</f>
        <v xml:space="preserve">   Nigéria</v>
      </c>
      <c r="C1276">
        <v>126139889</v>
      </c>
      <c r="D1276">
        <v>30060</v>
      </c>
    </row>
    <row r="1277" spans="1:4" x14ac:dyDescent="0.25">
      <c r="A1277" t="str">
        <f>T("   TG")</f>
        <v xml:space="preserve">   TG</v>
      </c>
      <c r="B1277" t="str">
        <f>T("   Togo")</f>
        <v xml:space="preserve">   Togo</v>
      </c>
      <c r="C1277">
        <v>206360175</v>
      </c>
      <c r="D1277">
        <v>35873</v>
      </c>
    </row>
    <row r="1278" spans="1:4" x14ac:dyDescent="0.25">
      <c r="A1278" t="str">
        <f>T("842920")</f>
        <v>842920</v>
      </c>
      <c r="B1278" t="str">
        <f>T("Niveleuses autopropulsées")</f>
        <v>Niveleuses autopropulsées</v>
      </c>
    </row>
    <row r="1279" spans="1:4" x14ac:dyDescent="0.25">
      <c r="A1279" t="str">
        <f>T("   ZZZ_Monde")</f>
        <v xml:space="preserve">   ZZZ_Monde</v>
      </c>
      <c r="B1279" t="str">
        <f>T("   ZZZ_Monde")</f>
        <v xml:space="preserve">   ZZZ_Monde</v>
      </c>
      <c r="C1279">
        <v>642818877</v>
      </c>
      <c r="D1279">
        <v>174638</v>
      </c>
    </row>
    <row r="1280" spans="1:4" x14ac:dyDescent="0.25">
      <c r="A1280" t="str">
        <f>T("   BF")</f>
        <v xml:space="preserve">   BF</v>
      </c>
      <c r="B1280" t="str">
        <f>T("   Burkina Faso")</f>
        <v xml:space="preserve">   Burkina Faso</v>
      </c>
      <c r="C1280">
        <v>75221000</v>
      </c>
      <c r="D1280">
        <v>15000</v>
      </c>
    </row>
    <row r="1281" spans="1:4" x14ac:dyDescent="0.25">
      <c r="A1281" t="str">
        <f>T("   CN")</f>
        <v xml:space="preserve">   CN</v>
      </c>
      <c r="B1281" t="str">
        <f>T("   Chine")</f>
        <v xml:space="preserve">   Chine</v>
      </c>
      <c r="C1281">
        <v>16539866</v>
      </c>
      <c r="D1281">
        <v>15400</v>
      </c>
    </row>
    <row r="1282" spans="1:4" x14ac:dyDescent="0.25">
      <c r="A1282" t="str">
        <f>T("   GH")</f>
        <v xml:space="preserve">   GH</v>
      </c>
      <c r="B1282" t="str">
        <f>T("   Ghana")</f>
        <v xml:space="preserve">   Ghana</v>
      </c>
      <c r="C1282">
        <v>238057301</v>
      </c>
      <c r="D1282">
        <v>56053</v>
      </c>
    </row>
    <row r="1283" spans="1:4" x14ac:dyDescent="0.25">
      <c r="A1283" t="str">
        <f>T("   NL")</f>
        <v xml:space="preserve">   NL</v>
      </c>
      <c r="B1283" t="str">
        <f>T("   Pays-bas")</f>
        <v xml:space="preserve">   Pays-bas</v>
      </c>
      <c r="C1283">
        <v>4500000</v>
      </c>
      <c r="D1283">
        <v>15856</v>
      </c>
    </row>
    <row r="1284" spans="1:4" x14ac:dyDescent="0.25">
      <c r="A1284" t="str">
        <f>T("   TG")</f>
        <v xml:space="preserve">   TG</v>
      </c>
      <c r="B1284" t="str">
        <f>T("   Togo")</f>
        <v xml:space="preserve">   Togo</v>
      </c>
      <c r="C1284">
        <v>308500710</v>
      </c>
      <c r="D1284">
        <v>72329</v>
      </c>
    </row>
    <row r="1285" spans="1:4" x14ac:dyDescent="0.25">
      <c r="A1285" t="str">
        <f>T("842940")</f>
        <v>842940</v>
      </c>
      <c r="B1285" t="str">
        <f>T("Rouleaux compresseurs et autres compacteuses, autopropulsés")</f>
        <v>Rouleaux compresseurs et autres compacteuses, autopropulsés</v>
      </c>
    </row>
    <row r="1286" spans="1:4" x14ac:dyDescent="0.25">
      <c r="A1286" t="str">
        <f>T("   ZZZ_Monde")</f>
        <v xml:space="preserve">   ZZZ_Monde</v>
      </c>
      <c r="B1286" t="str">
        <f>T("   ZZZ_Monde")</f>
        <v xml:space="preserve">   ZZZ_Monde</v>
      </c>
      <c r="C1286">
        <v>427472765</v>
      </c>
      <c r="D1286">
        <v>297767</v>
      </c>
    </row>
    <row r="1287" spans="1:4" x14ac:dyDescent="0.25">
      <c r="A1287" t="str">
        <f>T("   CI")</f>
        <v xml:space="preserve">   CI</v>
      </c>
      <c r="B1287" t="str">
        <f>T("   Côte d'Ivoire")</f>
        <v xml:space="preserve">   Côte d'Ivoire</v>
      </c>
      <c r="C1287">
        <v>18182420</v>
      </c>
      <c r="D1287">
        <v>19053</v>
      </c>
    </row>
    <row r="1288" spans="1:4" x14ac:dyDescent="0.25">
      <c r="A1288" t="str">
        <f>T("   FR")</f>
        <v xml:space="preserve">   FR</v>
      </c>
      <c r="B1288" t="str">
        <f>T("   France")</f>
        <v xml:space="preserve">   France</v>
      </c>
      <c r="C1288">
        <v>1833802</v>
      </c>
      <c r="D1288">
        <v>178</v>
      </c>
    </row>
    <row r="1289" spans="1:4" x14ac:dyDescent="0.25">
      <c r="A1289" t="str">
        <f>T("   GH")</f>
        <v xml:space="preserve">   GH</v>
      </c>
      <c r="B1289" t="str">
        <f>T("   Ghana")</f>
        <v xml:space="preserve">   Ghana</v>
      </c>
      <c r="C1289">
        <v>203789697</v>
      </c>
      <c r="D1289">
        <v>105550</v>
      </c>
    </row>
    <row r="1290" spans="1:4" x14ac:dyDescent="0.25">
      <c r="A1290" t="str">
        <f>T("   NG")</f>
        <v xml:space="preserve">   NG</v>
      </c>
      <c r="B1290" t="str">
        <f>T("   Nigéria")</f>
        <v xml:space="preserve">   Nigéria</v>
      </c>
      <c r="C1290">
        <v>67832787</v>
      </c>
      <c r="D1290">
        <v>64685</v>
      </c>
    </row>
    <row r="1291" spans="1:4" x14ac:dyDescent="0.25">
      <c r="A1291" t="str">
        <f>T("   SN")</f>
        <v xml:space="preserve">   SN</v>
      </c>
      <c r="B1291" t="str">
        <f>T("   Sénégal")</f>
        <v xml:space="preserve">   Sénégal</v>
      </c>
      <c r="C1291">
        <v>14481246</v>
      </c>
      <c r="D1291">
        <v>19640</v>
      </c>
    </row>
    <row r="1292" spans="1:4" x14ac:dyDescent="0.25">
      <c r="A1292" t="str">
        <f>T("   TG")</f>
        <v xml:space="preserve">   TG</v>
      </c>
      <c r="B1292" t="str">
        <f>T("   Togo")</f>
        <v xml:space="preserve">   Togo</v>
      </c>
      <c r="C1292">
        <v>121352813</v>
      </c>
      <c r="D1292">
        <v>88661</v>
      </c>
    </row>
    <row r="1293" spans="1:4" x14ac:dyDescent="0.25">
      <c r="A1293" t="str">
        <f>T("842951")</f>
        <v>842951</v>
      </c>
      <c r="B1293" t="str">
        <f>T("Chargeuses et chargeuses-pelleteuses, à chargement frontal, autopropulsées")</f>
        <v>Chargeuses et chargeuses-pelleteuses, à chargement frontal, autopropulsées</v>
      </c>
    </row>
    <row r="1294" spans="1:4" x14ac:dyDescent="0.25">
      <c r="A1294" t="str">
        <f>T("   ZZZ_Monde")</f>
        <v xml:space="preserve">   ZZZ_Monde</v>
      </c>
      <c r="B1294" t="str">
        <f>T("   ZZZ_Monde")</f>
        <v xml:space="preserve">   ZZZ_Monde</v>
      </c>
      <c r="C1294">
        <v>584295724</v>
      </c>
      <c r="D1294">
        <v>180166</v>
      </c>
    </row>
    <row r="1295" spans="1:4" x14ac:dyDescent="0.25">
      <c r="A1295" t="str">
        <f>T("   GH")</f>
        <v xml:space="preserve">   GH</v>
      </c>
      <c r="B1295" t="str">
        <f>T("   Ghana")</f>
        <v xml:space="preserve">   Ghana</v>
      </c>
      <c r="C1295">
        <v>201619716</v>
      </c>
      <c r="D1295">
        <v>50000</v>
      </c>
    </row>
    <row r="1296" spans="1:4" x14ac:dyDescent="0.25">
      <c r="A1296" t="str">
        <f>T("   NG")</f>
        <v xml:space="preserve">   NG</v>
      </c>
      <c r="B1296" t="str">
        <f>T("   Nigéria")</f>
        <v xml:space="preserve">   Nigéria</v>
      </c>
      <c r="C1296">
        <v>98199238</v>
      </c>
      <c r="D1296">
        <v>34200</v>
      </c>
    </row>
    <row r="1297" spans="1:4" x14ac:dyDescent="0.25">
      <c r="A1297" t="str">
        <f>T("   TG")</f>
        <v xml:space="preserve">   TG</v>
      </c>
      <c r="B1297" t="str">
        <f>T("   Togo")</f>
        <v xml:space="preserve">   Togo</v>
      </c>
      <c r="C1297">
        <v>284476770</v>
      </c>
      <c r="D1297">
        <v>95966</v>
      </c>
    </row>
    <row r="1298" spans="1:4" x14ac:dyDescent="0.25">
      <c r="A1298" t="str">
        <f>T("842952")</f>
        <v>842952</v>
      </c>
      <c r="B1298" t="str">
        <f>T("Pelles mécaniques, autopropulsées, dont la superstructure peut effectuer une rotation de 360°")</f>
        <v>Pelles mécaniques, autopropulsées, dont la superstructure peut effectuer une rotation de 360°</v>
      </c>
    </row>
    <row r="1299" spans="1:4" x14ac:dyDescent="0.25">
      <c r="A1299" t="str">
        <f>T("   ZZZ_Monde")</f>
        <v xml:space="preserve">   ZZZ_Monde</v>
      </c>
      <c r="B1299" t="str">
        <f>T("   ZZZ_Monde")</f>
        <v xml:space="preserve">   ZZZ_Monde</v>
      </c>
      <c r="C1299">
        <v>60962955</v>
      </c>
      <c r="D1299">
        <v>25000</v>
      </c>
    </row>
    <row r="1300" spans="1:4" x14ac:dyDescent="0.25">
      <c r="A1300" t="str">
        <f>T("   NG")</f>
        <v xml:space="preserve">   NG</v>
      </c>
      <c r="B1300" t="str">
        <f>T("   Nigéria")</f>
        <v xml:space="preserve">   Nigéria</v>
      </c>
      <c r="C1300">
        <v>60962955</v>
      </c>
      <c r="D1300">
        <v>25000</v>
      </c>
    </row>
    <row r="1301" spans="1:4" x14ac:dyDescent="0.25">
      <c r="A1301" t="str">
        <f>T("842959")</f>
        <v>842959</v>
      </c>
      <c r="B1301" t="str">
        <f>T("PELLES MÉCANIQUES, EXCAVATEURS, CHARGEUSES ET CHARGEUSES-PELLETEUSES, AUTOPROPULSÉS (SAUF PELLES-MÉCANIQUES DONT LA SUPERSTRUCTURE PEUT EFFECTUER UNE ROTATION DE 360¦ ET SAUF CHARGEUSES À CHARGEMENT FRONTAL)")</f>
        <v>PELLES MÉCANIQUES, EXCAVATEURS, CHARGEUSES ET CHARGEUSES-PELLETEUSES, AUTOPROPULSÉS (SAUF PELLES-MÉCANIQUES DONT LA SUPERSTRUCTURE PEUT EFFECTUER UNE ROTATION DE 360¦ ET SAUF CHARGEUSES À CHARGEMENT FRONTAL)</v>
      </c>
    </row>
    <row r="1302" spans="1:4" x14ac:dyDescent="0.25">
      <c r="A1302" t="str">
        <f>T("   ZZZ_Monde")</f>
        <v xml:space="preserve">   ZZZ_Monde</v>
      </c>
      <c r="B1302" t="str">
        <f>T("   ZZZ_Monde")</f>
        <v xml:space="preserve">   ZZZ_Monde</v>
      </c>
      <c r="C1302">
        <v>831183975</v>
      </c>
      <c r="D1302">
        <v>536155</v>
      </c>
    </row>
    <row r="1303" spans="1:4" x14ac:dyDescent="0.25">
      <c r="A1303" t="str">
        <f>T("   BF")</f>
        <v xml:space="preserve">   BF</v>
      </c>
      <c r="B1303" t="str">
        <f>T("   Burkina Faso")</f>
        <v xml:space="preserve">   Burkina Faso</v>
      </c>
      <c r="C1303">
        <v>59606567</v>
      </c>
      <c r="D1303">
        <v>28946</v>
      </c>
    </row>
    <row r="1304" spans="1:4" x14ac:dyDescent="0.25">
      <c r="A1304" t="str">
        <f>T("   CG")</f>
        <v xml:space="preserve">   CG</v>
      </c>
      <c r="B1304" t="str">
        <f>T("   Congo (Brazzaville)")</f>
        <v xml:space="preserve">   Congo (Brazzaville)</v>
      </c>
      <c r="C1304">
        <v>700000</v>
      </c>
      <c r="D1304">
        <v>415</v>
      </c>
    </row>
    <row r="1305" spans="1:4" x14ac:dyDescent="0.25">
      <c r="A1305" t="str">
        <f>T("   CI")</f>
        <v xml:space="preserve">   CI</v>
      </c>
      <c r="B1305" t="str">
        <f>T("   Côte d'Ivoire")</f>
        <v xml:space="preserve">   Côte d'Ivoire</v>
      </c>
      <c r="C1305">
        <v>42166370</v>
      </c>
      <c r="D1305">
        <v>54600</v>
      </c>
    </row>
    <row r="1306" spans="1:4" x14ac:dyDescent="0.25">
      <c r="A1306" t="str">
        <f>T("   GA")</f>
        <v xml:space="preserve">   GA</v>
      </c>
      <c r="B1306" t="str">
        <f>T("   Gabon")</f>
        <v xml:space="preserve">   Gabon</v>
      </c>
      <c r="C1306">
        <v>2400000</v>
      </c>
      <c r="D1306">
        <v>990</v>
      </c>
    </row>
    <row r="1307" spans="1:4" x14ac:dyDescent="0.25">
      <c r="A1307" t="str">
        <f>T("   GH")</f>
        <v xml:space="preserve">   GH</v>
      </c>
      <c r="B1307" t="str">
        <f>T("   Ghana")</f>
        <v xml:space="preserve">   Ghana</v>
      </c>
      <c r="C1307">
        <v>5376720</v>
      </c>
      <c r="D1307">
        <v>15000</v>
      </c>
    </row>
    <row r="1308" spans="1:4" x14ac:dyDescent="0.25">
      <c r="A1308" t="str">
        <f>T("   NG")</f>
        <v xml:space="preserve">   NG</v>
      </c>
      <c r="B1308" t="str">
        <f>T("   Nigéria")</f>
        <v xml:space="preserve">   Nigéria</v>
      </c>
      <c r="C1308">
        <v>164323535</v>
      </c>
      <c r="D1308">
        <v>92202</v>
      </c>
    </row>
    <row r="1309" spans="1:4" x14ac:dyDescent="0.25">
      <c r="A1309" t="str">
        <f>T("   NL")</f>
        <v xml:space="preserve">   NL</v>
      </c>
      <c r="B1309" t="str">
        <f>T("   Pays-bas")</f>
        <v xml:space="preserve">   Pays-bas</v>
      </c>
      <c r="C1309">
        <v>160382220</v>
      </c>
      <c r="D1309">
        <v>130000</v>
      </c>
    </row>
    <row r="1310" spans="1:4" x14ac:dyDescent="0.25">
      <c r="A1310" t="str">
        <f>T("   SN")</f>
        <v xml:space="preserve">   SN</v>
      </c>
      <c r="B1310" t="str">
        <f>T("   Sénégal")</f>
        <v xml:space="preserve">   Sénégal</v>
      </c>
      <c r="C1310">
        <v>24995874</v>
      </c>
      <c r="D1310">
        <v>18860</v>
      </c>
    </row>
    <row r="1311" spans="1:4" x14ac:dyDescent="0.25">
      <c r="A1311" t="str">
        <f>T("   TG")</f>
        <v xml:space="preserve">   TG</v>
      </c>
      <c r="B1311" t="str">
        <f>T("   Togo")</f>
        <v xml:space="preserve">   Togo</v>
      </c>
      <c r="C1311">
        <v>371232689</v>
      </c>
      <c r="D1311">
        <v>195142</v>
      </c>
    </row>
    <row r="1312" spans="1:4" x14ac:dyDescent="0.25">
      <c r="A1312" t="str">
        <f>T("843039")</f>
        <v>843039</v>
      </c>
      <c r="B1312" t="str">
        <f>T("Haveuses, abatteuses et autres machines à creuser les tunnels ou les galeries, non autopropulsées (à l'excl. de l'outillage pour emploi à la main et du soutènement marchant hydraulique pour mines)")</f>
        <v>Haveuses, abatteuses et autres machines à creuser les tunnels ou les galeries, non autopropulsées (à l'excl. de l'outillage pour emploi à la main et du soutènement marchant hydraulique pour mines)</v>
      </c>
    </row>
    <row r="1313" spans="1:4" x14ac:dyDescent="0.25">
      <c r="A1313" t="str">
        <f>T("   ZZZ_Monde")</f>
        <v xml:space="preserve">   ZZZ_Monde</v>
      </c>
      <c r="B1313" t="str">
        <f>T("   ZZZ_Monde")</f>
        <v xml:space="preserve">   ZZZ_Monde</v>
      </c>
      <c r="C1313">
        <v>2755144</v>
      </c>
      <c r="D1313">
        <v>184</v>
      </c>
    </row>
    <row r="1314" spans="1:4" x14ac:dyDescent="0.25">
      <c r="A1314" t="str">
        <f>T("   NL")</f>
        <v xml:space="preserve">   NL</v>
      </c>
      <c r="B1314" t="str">
        <f>T("   Pays-bas")</f>
        <v xml:space="preserve">   Pays-bas</v>
      </c>
      <c r="C1314">
        <v>2755144</v>
      </c>
      <c r="D1314">
        <v>184</v>
      </c>
    </row>
    <row r="1315" spans="1:4" x14ac:dyDescent="0.25">
      <c r="A1315" t="str">
        <f>T("843049")</f>
        <v>843049</v>
      </c>
      <c r="B1315" t="str">
        <f>T("Machines de sondage ou de forage de la terre, des minéraux ou des minerais non autopropulsées et non hydrauliques (à l'excl. des machines à creuser les tunnels et autres machines à creuser les galeries, et sauf outillage pour emploi à la main)")</f>
        <v>Machines de sondage ou de forage de la terre, des minéraux ou des minerais non autopropulsées et non hydrauliques (à l'excl. des machines à creuser les tunnels et autres machines à creuser les galeries, et sauf outillage pour emploi à la main)</v>
      </c>
    </row>
    <row r="1316" spans="1:4" x14ac:dyDescent="0.25">
      <c r="A1316" t="str">
        <f>T("   ZZZ_Monde")</f>
        <v xml:space="preserve">   ZZZ_Monde</v>
      </c>
      <c r="B1316" t="str">
        <f>T("   ZZZ_Monde")</f>
        <v xml:space="preserve">   ZZZ_Monde</v>
      </c>
      <c r="C1316">
        <v>69918676</v>
      </c>
      <c r="D1316">
        <v>17193</v>
      </c>
    </row>
    <row r="1317" spans="1:4" x14ac:dyDescent="0.25">
      <c r="A1317" t="str">
        <f>T("   BF")</f>
        <v xml:space="preserve">   BF</v>
      </c>
      <c r="B1317" t="str">
        <f>T("   Burkina Faso")</f>
        <v xml:space="preserve">   Burkina Faso</v>
      </c>
      <c r="C1317">
        <v>50180940</v>
      </c>
      <c r="D1317">
        <v>17016</v>
      </c>
    </row>
    <row r="1318" spans="1:4" x14ac:dyDescent="0.25">
      <c r="A1318" t="str">
        <f>T("   FR")</f>
        <v xml:space="preserve">   FR</v>
      </c>
      <c r="B1318" t="str">
        <f>T("   France")</f>
        <v xml:space="preserve">   France</v>
      </c>
      <c r="C1318">
        <v>19737736</v>
      </c>
      <c r="D1318">
        <v>177</v>
      </c>
    </row>
    <row r="1319" spans="1:4" x14ac:dyDescent="0.25">
      <c r="A1319" t="str">
        <f>T("843050")</f>
        <v>843050</v>
      </c>
      <c r="B1319" t="str">
        <f>T("Machines et appareils de terrassement, nivellement, décapage, excavation, compactage, extraction ou forage de la terre, des minéraux ou des minerais, autopropulsés, n.d.a.")</f>
        <v>Machines et appareils de terrassement, nivellement, décapage, excavation, compactage, extraction ou forage de la terre, des minéraux ou des minerais, autopropulsés, n.d.a.</v>
      </c>
    </row>
    <row r="1320" spans="1:4" x14ac:dyDescent="0.25">
      <c r="A1320" t="str">
        <f>T("   ZZZ_Monde")</f>
        <v xml:space="preserve">   ZZZ_Monde</v>
      </c>
      <c r="B1320" t="str">
        <f>T("   ZZZ_Monde")</f>
        <v xml:space="preserve">   ZZZ_Monde</v>
      </c>
      <c r="C1320">
        <v>19425320</v>
      </c>
      <c r="D1320">
        <v>9600</v>
      </c>
    </row>
    <row r="1321" spans="1:4" x14ac:dyDescent="0.25">
      <c r="A1321" t="str">
        <f>T("   TG")</f>
        <v xml:space="preserve">   TG</v>
      </c>
      <c r="B1321" t="str">
        <f>T("   Togo")</f>
        <v xml:space="preserve">   Togo</v>
      </c>
      <c r="C1321">
        <v>19425320</v>
      </c>
      <c r="D1321">
        <v>9600</v>
      </c>
    </row>
    <row r="1322" spans="1:4" x14ac:dyDescent="0.25">
      <c r="A1322" t="str">
        <f>T("843061")</f>
        <v>843061</v>
      </c>
      <c r="B1322" t="str">
        <f>T("Machines et appareils à tasser ou à compacter, non autopropulsés (sauf outillage pour emploi à la main)")</f>
        <v>Machines et appareils à tasser ou à compacter, non autopropulsés (sauf outillage pour emploi à la main)</v>
      </c>
    </row>
    <row r="1323" spans="1:4" x14ac:dyDescent="0.25">
      <c r="A1323" t="str">
        <f>T("   ZZZ_Monde")</f>
        <v xml:space="preserve">   ZZZ_Monde</v>
      </c>
      <c r="B1323" t="str">
        <f>T("   ZZZ_Monde")</f>
        <v xml:space="preserve">   ZZZ_Monde</v>
      </c>
      <c r="C1323">
        <v>2113934</v>
      </c>
      <c r="D1323">
        <v>9900</v>
      </c>
    </row>
    <row r="1324" spans="1:4" x14ac:dyDescent="0.25">
      <c r="A1324" t="str">
        <f>T("   GH")</f>
        <v xml:space="preserve">   GH</v>
      </c>
      <c r="B1324" t="str">
        <f>T("   Ghana")</f>
        <v xml:space="preserve">   Ghana</v>
      </c>
      <c r="C1324">
        <v>2113934</v>
      </c>
      <c r="D1324">
        <v>9900</v>
      </c>
    </row>
    <row r="1325" spans="1:4" x14ac:dyDescent="0.25">
      <c r="A1325" t="str">
        <f>T("843120")</f>
        <v>843120</v>
      </c>
      <c r="B1325" t="str">
        <f>T("Parties de chariots-gerbeurs et autres chariots de manutention munis d'un dispositif de levage, n.d.a.")</f>
        <v>Parties de chariots-gerbeurs et autres chariots de manutention munis d'un dispositif de levage, n.d.a.</v>
      </c>
    </row>
    <row r="1326" spans="1:4" x14ac:dyDescent="0.25">
      <c r="A1326" t="str">
        <f>T("   ZZZ_Monde")</f>
        <v xml:space="preserve">   ZZZ_Monde</v>
      </c>
      <c r="B1326" t="str">
        <f>T("   ZZZ_Monde")</f>
        <v xml:space="preserve">   ZZZ_Monde</v>
      </c>
      <c r="C1326">
        <v>909285</v>
      </c>
      <c r="D1326">
        <v>120.4</v>
      </c>
    </row>
    <row r="1327" spans="1:4" x14ac:dyDescent="0.25">
      <c r="A1327" t="str">
        <f>T("   DK")</f>
        <v xml:space="preserve">   DK</v>
      </c>
      <c r="B1327" t="str">
        <f>T("   Danemark")</f>
        <v xml:space="preserve">   Danemark</v>
      </c>
      <c r="C1327">
        <v>909285</v>
      </c>
      <c r="D1327">
        <v>120.4</v>
      </c>
    </row>
    <row r="1328" spans="1:4" x14ac:dyDescent="0.25">
      <c r="A1328" t="str">
        <f>T("843131")</f>
        <v>843131</v>
      </c>
      <c r="B1328" t="str">
        <f>T("Parties d'ascenseurs, monte-charge ou escaliers mécaniques, n.d.a.")</f>
        <v>Parties d'ascenseurs, monte-charge ou escaliers mécaniques, n.d.a.</v>
      </c>
    </row>
    <row r="1329" spans="1:4" x14ac:dyDescent="0.25">
      <c r="A1329" t="str">
        <f>T("   ZZZ_Monde")</f>
        <v xml:space="preserve">   ZZZ_Monde</v>
      </c>
      <c r="B1329" t="str">
        <f>T("   ZZZ_Monde")</f>
        <v xml:space="preserve">   ZZZ_Monde</v>
      </c>
      <c r="C1329">
        <v>80430120</v>
      </c>
      <c r="D1329">
        <v>1100</v>
      </c>
    </row>
    <row r="1330" spans="1:4" x14ac:dyDescent="0.25">
      <c r="A1330" t="str">
        <f>T("   US")</f>
        <v xml:space="preserve">   US</v>
      </c>
      <c r="B1330" t="str">
        <f>T("   Etats-Unis")</f>
        <v xml:space="preserve">   Etats-Unis</v>
      </c>
      <c r="C1330">
        <v>80430120</v>
      </c>
      <c r="D1330">
        <v>1100</v>
      </c>
    </row>
    <row r="1331" spans="1:4" x14ac:dyDescent="0.25">
      <c r="A1331" t="str">
        <f>T("843139")</f>
        <v>843139</v>
      </c>
      <c r="B1331" t="str">
        <f>T("Parties de machines et appareils du n° 8428, n.d.a.")</f>
        <v>Parties de machines et appareils du n° 8428, n.d.a.</v>
      </c>
    </row>
    <row r="1332" spans="1:4" x14ac:dyDescent="0.25">
      <c r="A1332" t="str">
        <f>T("   ZZZ_Monde")</f>
        <v xml:space="preserve">   ZZZ_Monde</v>
      </c>
      <c r="B1332" t="str">
        <f>T("   ZZZ_Monde")</f>
        <v xml:space="preserve">   ZZZ_Monde</v>
      </c>
      <c r="C1332">
        <v>178522873</v>
      </c>
      <c r="D1332">
        <v>21423.7</v>
      </c>
    </row>
    <row r="1333" spans="1:4" x14ac:dyDescent="0.25">
      <c r="A1333" t="str">
        <f>T("   AT")</f>
        <v xml:space="preserve">   AT</v>
      </c>
      <c r="B1333" t="str">
        <f>T("   Autriche")</f>
        <v xml:space="preserve">   Autriche</v>
      </c>
      <c r="C1333">
        <v>2380000</v>
      </c>
      <c r="D1333">
        <v>3085</v>
      </c>
    </row>
    <row r="1334" spans="1:4" x14ac:dyDescent="0.25">
      <c r="A1334" t="str">
        <f>T("   BF")</f>
        <v xml:space="preserve">   BF</v>
      </c>
      <c r="B1334" t="str">
        <f>T("   Burkina Faso")</f>
        <v xml:space="preserve">   Burkina Faso</v>
      </c>
      <c r="C1334">
        <v>12359569</v>
      </c>
      <c r="D1334">
        <v>2600</v>
      </c>
    </row>
    <row r="1335" spans="1:4" x14ac:dyDescent="0.25">
      <c r="A1335" t="str">
        <f>T("   CN")</f>
        <v xml:space="preserve">   CN</v>
      </c>
      <c r="B1335" t="str">
        <f>T("   Chine")</f>
        <v xml:space="preserve">   Chine</v>
      </c>
      <c r="C1335">
        <v>4335473</v>
      </c>
      <c r="D1335">
        <v>3830</v>
      </c>
    </row>
    <row r="1336" spans="1:4" x14ac:dyDescent="0.25">
      <c r="A1336" t="str">
        <f>T("   FR")</f>
        <v xml:space="preserve">   FR</v>
      </c>
      <c r="B1336" t="str">
        <f>T("   France")</f>
        <v xml:space="preserve">   France</v>
      </c>
      <c r="C1336">
        <v>25895708</v>
      </c>
      <c r="D1336">
        <v>1838</v>
      </c>
    </row>
    <row r="1337" spans="1:4" x14ac:dyDescent="0.25">
      <c r="A1337" t="str">
        <f>T("   NL")</f>
        <v xml:space="preserve">   NL</v>
      </c>
      <c r="B1337" t="str">
        <f>T("   Pays-bas")</f>
        <v xml:space="preserve">   Pays-bas</v>
      </c>
      <c r="C1337">
        <v>133552123</v>
      </c>
      <c r="D1337">
        <v>10070.700000000001</v>
      </c>
    </row>
    <row r="1338" spans="1:4" x14ac:dyDescent="0.25">
      <c r="A1338" t="str">
        <f>T("843141")</f>
        <v>843141</v>
      </c>
      <c r="B1338" t="str">
        <f>T("Godets, bennes, bennes-preneuses, pelles, grappins et pinces pour machines et appareils du n° 8426, 8429 ou 8430")</f>
        <v>Godets, bennes, bennes-preneuses, pelles, grappins et pinces pour machines et appareils du n° 8426, 8429 ou 8430</v>
      </c>
    </row>
    <row r="1339" spans="1:4" x14ac:dyDescent="0.25">
      <c r="A1339" t="str">
        <f>T("   ZZZ_Monde")</f>
        <v xml:space="preserve">   ZZZ_Monde</v>
      </c>
      <c r="B1339" t="str">
        <f>T("   ZZZ_Monde")</f>
        <v xml:space="preserve">   ZZZ_Monde</v>
      </c>
      <c r="C1339">
        <v>35829191</v>
      </c>
      <c r="D1339">
        <v>12145</v>
      </c>
    </row>
    <row r="1340" spans="1:4" x14ac:dyDescent="0.25">
      <c r="A1340" t="str">
        <f>T("   NG")</f>
        <v xml:space="preserve">   NG</v>
      </c>
      <c r="B1340" t="str">
        <f>T("   Nigéria")</f>
        <v xml:space="preserve">   Nigéria</v>
      </c>
      <c r="C1340">
        <v>16399000</v>
      </c>
      <c r="D1340">
        <v>5070</v>
      </c>
    </row>
    <row r="1341" spans="1:4" x14ac:dyDescent="0.25">
      <c r="A1341" t="str">
        <f>T("   NL")</f>
        <v xml:space="preserve">   NL</v>
      </c>
      <c r="B1341" t="str">
        <f>T("   Pays-bas")</f>
        <v xml:space="preserve">   Pays-bas</v>
      </c>
      <c r="C1341">
        <v>18366880</v>
      </c>
      <c r="D1341">
        <v>6625</v>
      </c>
    </row>
    <row r="1342" spans="1:4" x14ac:dyDescent="0.25">
      <c r="A1342" t="str">
        <f>T("   TG")</f>
        <v xml:space="preserve">   TG</v>
      </c>
      <c r="B1342" t="str">
        <f>T("   Togo")</f>
        <v xml:space="preserve">   Togo</v>
      </c>
      <c r="C1342">
        <v>1063311</v>
      </c>
      <c r="D1342">
        <v>450</v>
      </c>
    </row>
    <row r="1343" spans="1:4" x14ac:dyDescent="0.25">
      <c r="A1343" t="str">
        <f>T("843143")</f>
        <v>843143</v>
      </c>
      <c r="B1343" t="str">
        <f>T("Parties de machines de sondage ou de forage du n° 8430.41 ou 8430.49, n.d.a.")</f>
        <v>Parties de machines de sondage ou de forage du n° 8430.41 ou 8430.49, n.d.a.</v>
      </c>
    </row>
    <row r="1344" spans="1:4" x14ac:dyDescent="0.25">
      <c r="A1344" t="str">
        <f>T("   ZZZ_Monde")</f>
        <v xml:space="preserve">   ZZZ_Monde</v>
      </c>
      <c r="B1344" t="str">
        <f>T("   ZZZ_Monde")</f>
        <v xml:space="preserve">   ZZZ_Monde</v>
      </c>
      <c r="C1344">
        <v>109379588</v>
      </c>
      <c r="D1344">
        <v>33360</v>
      </c>
    </row>
    <row r="1345" spans="1:4" x14ac:dyDescent="0.25">
      <c r="A1345" t="str">
        <f>T("   CN")</f>
        <v xml:space="preserve">   CN</v>
      </c>
      <c r="B1345" t="str">
        <f>T("   Chine")</f>
        <v xml:space="preserve">   Chine</v>
      </c>
      <c r="C1345">
        <v>40889661</v>
      </c>
      <c r="D1345">
        <v>24100</v>
      </c>
    </row>
    <row r="1346" spans="1:4" x14ac:dyDescent="0.25">
      <c r="A1346" t="str">
        <f>T("   GH")</f>
        <v xml:space="preserve">   GH</v>
      </c>
      <c r="B1346" t="str">
        <f>T("   Ghana")</f>
        <v xml:space="preserve">   Ghana</v>
      </c>
      <c r="C1346">
        <v>67028602</v>
      </c>
      <c r="D1346">
        <v>8700</v>
      </c>
    </row>
    <row r="1347" spans="1:4" x14ac:dyDescent="0.25">
      <c r="A1347" t="str">
        <f>T("   GQ")</f>
        <v xml:space="preserve">   GQ</v>
      </c>
      <c r="B1347" t="str">
        <f>T("   Guinée Equatoriale")</f>
        <v xml:space="preserve">   Guinée Equatoriale</v>
      </c>
      <c r="C1347">
        <v>1461325</v>
      </c>
      <c r="D1347">
        <v>560</v>
      </c>
    </row>
    <row r="1348" spans="1:4" x14ac:dyDescent="0.25">
      <c r="A1348" t="str">
        <f>T("843149")</f>
        <v>843149</v>
      </c>
      <c r="B1348" t="str">
        <f>T("Parties de machines et appareils du n° 8426, 8429 ou 8430, n.d.a.")</f>
        <v>Parties de machines et appareils du n° 8426, 8429 ou 8430, n.d.a.</v>
      </c>
    </row>
    <row r="1349" spans="1:4" x14ac:dyDescent="0.25">
      <c r="A1349" t="str">
        <f>T("   ZZZ_Monde")</f>
        <v xml:space="preserve">   ZZZ_Monde</v>
      </c>
      <c r="B1349" t="str">
        <f>T("   ZZZ_Monde")</f>
        <v xml:space="preserve">   ZZZ_Monde</v>
      </c>
      <c r="C1349">
        <v>955573067</v>
      </c>
      <c r="D1349">
        <v>139871.20000000001</v>
      </c>
    </row>
    <row r="1350" spans="1:4" x14ac:dyDescent="0.25">
      <c r="A1350" t="str">
        <f>T("   AT")</f>
        <v xml:space="preserve">   AT</v>
      </c>
      <c r="B1350" t="str">
        <f>T("   Autriche")</f>
        <v xml:space="preserve">   Autriche</v>
      </c>
      <c r="C1350">
        <v>651000</v>
      </c>
      <c r="D1350">
        <v>2000</v>
      </c>
    </row>
    <row r="1351" spans="1:4" x14ac:dyDescent="0.25">
      <c r="A1351" t="str">
        <f>T("   BE")</f>
        <v xml:space="preserve">   BE</v>
      </c>
      <c r="B1351" t="str">
        <f>T("   Belgique")</f>
        <v xml:space="preserve">   Belgique</v>
      </c>
      <c r="C1351">
        <v>33905673</v>
      </c>
      <c r="D1351">
        <v>2058</v>
      </c>
    </row>
    <row r="1352" spans="1:4" x14ac:dyDescent="0.25">
      <c r="A1352" t="str">
        <f>T("   BF")</f>
        <v xml:space="preserve">   BF</v>
      </c>
      <c r="B1352" t="str">
        <f>T("   Burkina Faso")</f>
        <v xml:space="preserve">   Burkina Faso</v>
      </c>
      <c r="C1352">
        <v>2732000</v>
      </c>
      <c r="D1352">
        <v>79</v>
      </c>
    </row>
    <row r="1353" spans="1:4" x14ac:dyDescent="0.25">
      <c r="A1353" t="str">
        <f>T("   CN")</f>
        <v xml:space="preserve">   CN</v>
      </c>
      <c r="B1353" t="str">
        <f>T("   Chine")</f>
        <v xml:space="preserve">   Chine</v>
      </c>
      <c r="C1353">
        <v>6971484</v>
      </c>
      <c r="D1353">
        <v>590</v>
      </c>
    </row>
    <row r="1354" spans="1:4" x14ac:dyDescent="0.25">
      <c r="A1354" t="str">
        <f>T("   DE")</f>
        <v xml:space="preserve">   DE</v>
      </c>
      <c r="B1354" t="str">
        <f>T("   Allemagne")</f>
        <v xml:space="preserve">   Allemagne</v>
      </c>
      <c r="C1354">
        <v>525123</v>
      </c>
      <c r="D1354">
        <v>54.6</v>
      </c>
    </row>
    <row r="1355" spans="1:4" x14ac:dyDescent="0.25">
      <c r="A1355" t="str">
        <f>T("   DK")</f>
        <v xml:space="preserve">   DK</v>
      </c>
      <c r="B1355" t="str">
        <f>T("   Danemark")</f>
        <v xml:space="preserve">   Danemark</v>
      </c>
      <c r="C1355">
        <v>1956200</v>
      </c>
      <c r="D1355">
        <v>23</v>
      </c>
    </row>
    <row r="1356" spans="1:4" x14ac:dyDescent="0.25">
      <c r="A1356" t="str">
        <f>T("   FR")</f>
        <v xml:space="preserve">   FR</v>
      </c>
      <c r="B1356" t="str">
        <f>T("   France")</f>
        <v xml:space="preserve">   France</v>
      </c>
      <c r="C1356">
        <v>56337742</v>
      </c>
      <c r="D1356">
        <v>3460</v>
      </c>
    </row>
    <row r="1357" spans="1:4" x14ac:dyDescent="0.25">
      <c r="A1357" t="str">
        <f>T("   GH")</f>
        <v xml:space="preserve">   GH</v>
      </c>
      <c r="B1357" t="str">
        <f>T("   Ghana")</f>
        <v xml:space="preserve">   Ghana</v>
      </c>
      <c r="C1357">
        <v>3588039</v>
      </c>
      <c r="D1357">
        <v>945</v>
      </c>
    </row>
    <row r="1358" spans="1:4" x14ac:dyDescent="0.25">
      <c r="A1358" t="str">
        <f>T("   JP")</f>
        <v xml:space="preserve">   JP</v>
      </c>
      <c r="B1358" t="str">
        <f>T("   Japon")</f>
        <v xml:space="preserve">   Japon</v>
      </c>
      <c r="C1358">
        <v>171581880</v>
      </c>
      <c r="D1358">
        <v>48119</v>
      </c>
    </row>
    <row r="1359" spans="1:4" x14ac:dyDescent="0.25">
      <c r="A1359" t="str">
        <f>T("   NG")</f>
        <v xml:space="preserve">   NG</v>
      </c>
      <c r="B1359" t="str">
        <f>T("   Nigéria")</f>
        <v xml:space="preserve">   Nigéria</v>
      </c>
      <c r="C1359">
        <v>17059979</v>
      </c>
      <c r="D1359">
        <v>2194</v>
      </c>
    </row>
    <row r="1360" spans="1:4" x14ac:dyDescent="0.25">
      <c r="A1360" t="str">
        <f>T("   NL")</f>
        <v xml:space="preserve">   NL</v>
      </c>
      <c r="B1360" t="str">
        <f>T("   Pays-bas")</f>
        <v xml:space="preserve">   Pays-bas</v>
      </c>
      <c r="C1360">
        <v>156296254</v>
      </c>
      <c r="D1360">
        <v>23204.6</v>
      </c>
    </row>
    <row r="1361" spans="1:4" x14ac:dyDescent="0.25">
      <c r="A1361" t="str">
        <f>T("   TG")</f>
        <v xml:space="preserve">   TG</v>
      </c>
      <c r="B1361" t="str">
        <f>T("   Togo")</f>
        <v xml:space="preserve">   Togo</v>
      </c>
      <c r="C1361">
        <v>503613729</v>
      </c>
      <c r="D1361">
        <v>57000</v>
      </c>
    </row>
    <row r="1362" spans="1:4" x14ac:dyDescent="0.25">
      <c r="A1362" t="str">
        <f>T("   ZM")</f>
        <v xml:space="preserve">   ZM</v>
      </c>
      <c r="B1362" t="str">
        <f>T("   Zambie")</f>
        <v xml:space="preserve">   Zambie</v>
      </c>
      <c r="C1362">
        <v>353964</v>
      </c>
      <c r="D1362">
        <v>144</v>
      </c>
    </row>
    <row r="1363" spans="1:4" x14ac:dyDescent="0.25">
      <c r="A1363" t="str">
        <f>T("843880")</f>
        <v>843880</v>
      </c>
      <c r="B1363" t="str">
        <f>T("Machines et appareils pour la préparation ou la fabrication industrielles d'aliments ou de boissons, n.d.a.")</f>
        <v>Machines et appareils pour la préparation ou la fabrication industrielles d'aliments ou de boissons, n.d.a.</v>
      </c>
    </row>
    <row r="1364" spans="1:4" x14ac:dyDescent="0.25">
      <c r="A1364" t="str">
        <f>T("   ZZZ_Monde")</f>
        <v xml:space="preserve">   ZZZ_Monde</v>
      </c>
      <c r="B1364" t="str">
        <f>T("   ZZZ_Monde")</f>
        <v xml:space="preserve">   ZZZ_Monde</v>
      </c>
      <c r="C1364">
        <v>21570750</v>
      </c>
      <c r="D1364">
        <v>62000</v>
      </c>
    </row>
    <row r="1365" spans="1:4" x14ac:dyDescent="0.25">
      <c r="A1365" t="str">
        <f>T("   TG")</f>
        <v xml:space="preserve">   TG</v>
      </c>
      <c r="B1365" t="str">
        <f>T("   Togo")</f>
        <v xml:space="preserve">   Togo</v>
      </c>
      <c r="C1365">
        <v>21570750</v>
      </c>
      <c r="D1365">
        <v>62000</v>
      </c>
    </row>
    <row r="1366" spans="1:4" x14ac:dyDescent="0.25">
      <c r="A1366" t="str">
        <f>T("844110")</f>
        <v>844110</v>
      </c>
      <c r="B1366" t="str">
        <f>T("Coupeuses pour le travail de la pâte à papier, du papier ou du carton (sauf machines et appareils pour le brochage ou la reliure)")</f>
        <v>Coupeuses pour le travail de la pâte à papier, du papier ou du carton (sauf machines et appareils pour le brochage ou la reliure)</v>
      </c>
    </row>
    <row r="1367" spans="1:4" x14ac:dyDescent="0.25">
      <c r="A1367" t="str">
        <f>T("   ZZZ_Monde")</f>
        <v xml:space="preserve">   ZZZ_Monde</v>
      </c>
      <c r="B1367" t="str">
        <f>T("   ZZZ_Monde")</f>
        <v xml:space="preserve">   ZZZ_Monde</v>
      </c>
      <c r="C1367">
        <v>1120000</v>
      </c>
      <c r="D1367">
        <v>8000</v>
      </c>
    </row>
    <row r="1368" spans="1:4" x14ac:dyDescent="0.25">
      <c r="A1368" t="str">
        <f>T("   NE")</f>
        <v xml:space="preserve">   NE</v>
      </c>
      <c r="B1368" t="str">
        <f>T("   Niger")</f>
        <v xml:space="preserve">   Niger</v>
      </c>
      <c r="C1368">
        <v>1120000</v>
      </c>
      <c r="D1368">
        <v>8000</v>
      </c>
    </row>
    <row r="1369" spans="1:4" x14ac:dyDescent="0.25">
      <c r="A1369" t="str">
        <f>T("844180")</f>
        <v>844180</v>
      </c>
      <c r="B1369" t="str">
        <f>T("Machines et appareils pour le travail de la pâte à papier, du papier ou du carton, n.d.a.")</f>
        <v>Machines et appareils pour le travail de la pâte à papier, du papier ou du carton, n.d.a.</v>
      </c>
    </row>
    <row r="1370" spans="1:4" x14ac:dyDescent="0.25">
      <c r="A1370" t="str">
        <f>T("   ZZZ_Monde")</f>
        <v xml:space="preserve">   ZZZ_Monde</v>
      </c>
      <c r="B1370" t="str">
        <f>T("   ZZZ_Monde")</f>
        <v xml:space="preserve">   ZZZ_Monde</v>
      </c>
      <c r="C1370">
        <v>952000</v>
      </c>
      <c r="D1370">
        <v>7800</v>
      </c>
    </row>
    <row r="1371" spans="1:4" x14ac:dyDescent="0.25">
      <c r="A1371" t="str">
        <f>T("   NE")</f>
        <v xml:space="preserve">   NE</v>
      </c>
      <c r="B1371" t="str">
        <f>T("   Niger")</f>
        <v xml:space="preserve">   Niger</v>
      </c>
      <c r="C1371">
        <v>952000</v>
      </c>
      <c r="D1371">
        <v>7800</v>
      </c>
    </row>
    <row r="1372" spans="1:4" x14ac:dyDescent="0.25">
      <c r="A1372" t="str">
        <f>T("844230")</f>
        <v>844230</v>
      </c>
      <c r="B1372" t="str">
        <f>T("Machines, appareils et matériel pour la préparation ou la fabrication des clichés, planches, cylindres ou autres organes imprimants (sauf machines-outils à travailler par enlèvement de toute matière, à poste fixe et à stations multiples, à effectuer des o")</f>
        <v>Machines, appareils et matériel pour la préparation ou la fabrication des clichés, planches, cylindres ou autres organes imprimants (sauf machines-outils à travailler par enlèvement de toute matière, à poste fixe et à stations multiples, à effectuer des o</v>
      </c>
    </row>
    <row r="1373" spans="1:4" x14ac:dyDescent="0.25">
      <c r="A1373" t="str">
        <f>T("   ZZZ_Monde")</f>
        <v xml:space="preserve">   ZZZ_Monde</v>
      </c>
      <c r="B1373" t="str">
        <f>T("   ZZZ_Monde")</f>
        <v xml:space="preserve">   ZZZ_Monde</v>
      </c>
      <c r="C1373">
        <v>3650000</v>
      </c>
      <c r="D1373">
        <v>1600</v>
      </c>
    </row>
    <row r="1374" spans="1:4" x14ac:dyDescent="0.25">
      <c r="A1374" t="str">
        <f>T("   GA")</f>
        <v xml:space="preserve">   GA</v>
      </c>
      <c r="B1374" t="str">
        <f>T("   Gabon")</f>
        <v xml:space="preserve">   Gabon</v>
      </c>
      <c r="C1374">
        <v>3650000</v>
      </c>
      <c r="D1374">
        <v>1600</v>
      </c>
    </row>
    <row r="1375" spans="1:4" x14ac:dyDescent="0.25">
      <c r="A1375" t="str">
        <f>T("844339")</f>
        <v>844339</v>
      </c>
      <c r="B1375" t="str">
        <f>T("IMPRIMANTES, MACHINES À COPIER ET MACHINES À TÉLÉCOPIER (À L'EXCL. DE CELLES APTES À ÊTRE CONNECTÉES À UNE MACHINE AUTOMATIQUE DE TRAITEMENT DE L'INFORMATION OU À UN RÉSEAU ET DES MACHINES ET APPAREILS SERVANT À L'IMPRESSION AU MOYEN DE PLANCHES, CYLINDRE")</f>
        <v>IMPRIMANTES, MACHINES À COPIER ET MACHINES À TÉLÉCOPIER (À L'EXCL. DE CELLES APTES À ÊTRE CONNECTÉES À UNE MACHINE AUTOMATIQUE DE TRAITEMENT DE L'INFORMATION OU À UN RÉSEAU ET DES MACHINES ET APPAREILS SERVANT À L'IMPRESSION AU MOYEN DE PLANCHES, CYLINDRE</v>
      </c>
    </row>
    <row r="1376" spans="1:4" x14ac:dyDescent="0.25">
      <c r="A1376" t="str">
        <f>T("   ZZZ_Monde")</f>
        <v xml:space="preserve">   ZZZ_Monde</v>
      </c>
      <c r="B1376" t="str">
        <f>T("   ZZZ_Monde")</f>
        <v xml:space="preserve">   ZZZ_Monde</v>
      </c>
      <c r="C1376">
        <v>100000</v>
      </c>
      <c r="D1376">
        <v>80</v>
      </c>
    </row>
    <row r="1377" spans="1:4" x14ac:dyDescent="0.25">
      <c r="A1377" t="str">
        <f>T("   GQ")</f>
        <v xml:space="preserve">   GQ</v>
      </c>
      <c r="B1377" t="str">
        <f>T("   Guinée Equatoriale")</f>
        <v xml:space="preserve">   Guinée Equatoriale</v>
      </c>
      <c r="C1377">
        <v>100000</v>
      </c>
      <c r="D1377">
        <v>80</v>
      </c>
    </row>
    <row r="1378" spans="1:4" x14ac:dyDescent="0.25">
      <c r="A1378" t="str">
        <f>T("844399")</f>
        <v>844399</v>
      </c>
      <c r="B1378" t="str">
        <f>T("PARTIES ET ACCESSOIRES D'IMPRIMANTES, DE MACHINES À COPIER ET DE MACHINES À TÉLÉCOPIER, N.D.A. (À L'EXCL. DE MACHINES ET D'APPAREILS SERVANT À L'IMPRESSION AU MOYEN DE PLANCHES, CYLINDRES ET AUTRES ORGANES IMPRIMANTS DU N° 8442)")</f>
        <v>PARTIES ET ACCESSOIRES D'IMPRIMANTES, DE MACHINES À COPIER ET DE MACHINES À TÉLÉCOPIER, N.D.A. (À L'EXCL. DE MACHINES ET D'APPAREILS SERVANT À L'IMPRESSION AU MOYEN DE PLANCHES, CYLINDRES ET AUTRES ORGANES IMPRIMANTS DU N° 8442)</v>
      </c>
    </row>
    <row r="1379" spans="1:4" x14ac:dyDescent="0.25">
      <c r="A1379" t="str">
        <f>T("   ZZZ_Monde")</f>
        <v xml:space="preserve">   ZZZ_Monde</v>
      </c>
      <c r="B1379" t="str">
        <f>T("   ZZZ_Monde")</f>
        <v xml:space="preserve">   ZZZ_Monde</v>
      </c>
      <c r="C1379">
        <v>15000000</v>
      </c>
      <c r="D1379">
        <v>17600</v>
      </c>
    </row>
    <row r="1380" spans="1:4" x14ac:dyDescent="0.25">
      <c r="A1380" t="str">
        <f>T("   IT")</f>
        <v xml:space="preserve">   IT</v>
      </c>
      <c r="B1380" t="str">
        <f>T("   Italie")</f>
        <v xml:space="preserve">   Italie</v>
      </c>
      <c r="C1380">
        <v>15000000</v>
      </c>
      <c r="D1380">
        <v>17600</v>
      </c>
    </row>
    <row r="1381" spans="1:4" x14ac:dyDescent="0.25">
      <c r="A1381" t="str">
        <f>T("846029")</f>
        <v>846029</v>
      </c>
      <c r="B1381" t="str">
        <f>T("Machines à rectifier, dont le positionnement dans un des axes peut être réglé à au moins 0,01 mm près, pour le travail des métaux (autres qu'à commande numérique, autres que les surfaces planes et sauf machines à finir les engrenages)")</f>
        <v>Machines à rectifier, dont le positionnement dans un des axes peut être réglé à au moins 0,01 mm près, pour le travail des métaux (autres qu'à commande numérique, autres que les surfaces planes et sauf machines à finir les engrenages)</v>
      </c>
    </row>
    <row r="1382" spans="1:4" x14ac:dyDescent="0.25">
      <c r="A1382" t="str">
        <f>T("   ZZZ_Monde")</f>
        <v xml:space="preserve">   ZZZ_Monde</v>
      </c>
      <c r="B1382" t="str">
        <f>T("   ZZZ_Monde")</f>
        <v xml:space="preserve">   ZZZ_Monde</v>
      </c>
      <c r="C1382">
        <v>2000000</v>
      </c>
      <c r="D1382">
        <v>3000</v>
      </c>
    </row>
    <row r="1383" spans="1:4" x14ac:dyDescent="0.25">
      <c r="A1383" t="str">
        <f>T("   TG")</f>
        <v xml:space="preserve">   TG</v>
      </c>
      <c r="B1383" t="str">
        <f>T("   Togo")</f>
        <v xml:space="preserve">   Togo</v>
      </c>
      <c r="C1383">
        <v>2000000</v>
      </c>
      <c r="D1383">
        <v>3000</v>
      </c>
    </row>
    <row r="1384" spans="1:4" x14ac:dyDescent="0.25">
      <c r="A1384" t="str">
        <f>T("846150")</f>
        <v>846150</v>
      </c>
      <c r="B1384" t="str">
        <f>T("Machines à scier ou à tronçonner, pour le travail des métaux (autres que l'outillage à main)")</f>
        <v>Machines à scier ou à tronçonner, pour le travail des métaux (autres que l'outillage à main)</v>
      </c>
    </row>
    <row r="1385" spans="1:4" x14ac:dyDescent="0.25">
      <c r="A1385" t="str">
        <f>T("   ZZZ_Monde")</f>
        <v xml:space="preserve">   ZZZ_Monde</v>
      </c>
      <c r="B1385" t="str">
        <f>T("   ZZZ_Monde")</f>
        <v xml:space="preserve">   ZZZ_Monde</v>
      </c>
      <c r="C1385">
        <v>196353</v>
      </c>
      <c r="D1385">
        <v>40</v>
      </c>
    </row>
    <row r="1386" spans="1:4" x14ac:dyDescent="0.25">
      <c r="A1386" t="str">
        <f>T("   CI")</f>
        <v xml:space="preserve">   CI</v>
      </c>
      <c r="B1386" t="str">
        <f>T("   Côte d'Ivoire")</f>
        <v xml:space="preserve">   Côte d'Ivoire</v>
      </c>
      <c r="C1386">
        <v>196353</v>
      </c>
      <c r="D1386">
        <v>40</v>
      </c>
    </row>
    <row r="1387" spans="1:4" x14ac:dyDescent="0.25">
      <c r="A1387" t="str">
        <f>T("846190")</f>
        <v>846190</v>
      </c>
      <c r="B1387" t="str">
        <f>T("Machines à raboter et autres machines-outils travaillant par enlèvement de métal, n.d.a.")</f>
        <v>Machines à raboter et autres machines-outils travaillant par enlèvement de métal, n.d.a.</v>
      </c>
    </row>
    <row r="1388" spans="1:4" x14ac:dyDescent="0.25">
      <c r="A1388" t="str">
        <f>T("   ZZZ_Monde")</f>
        <v xml:space="preserve">   ZZZ_Monde</v>
      </c>
      <c r="B1388" t="str">
        <f>T("   ZZZ_Monde")</f>
        <v xml:space="preserve">   ZZZ_Monde</v>
      </c>
      <c r="C1388">
        <v>168375</v>
      </c>
      <c r="D1388">
        <v>1200</v>
      </c>
    </row>
    <row r="1389" spans="1:4" x14ac:dyDescent="0.25">
      <c r="A1389" t="str">
        <f>T("   CI")</f>
        <v xml:space="preserve">   CI</v>
      </c>
      <c r="B1389" t="str">
        <f>T("   Côte d'Ivoire")</f>
        <v xml:space="preserve">   Côte d'Ivoire</v>
      </c>
      <c r="C1389">
        <v>168375</v>
      </c>
      <c r="D1389">
        <v>1200</v>
      </c>
    </row>
    <row r="1390" spans="1:4" x14ac:dyDescent="0.25">
      <c r="A1390" t="str">
        <f>T("846229")</f>
        <v>846229</v>
      </c>
      <c r="B1390" t="str">
        <f>T("Machines, y.c. -les presses-, à rouler, cintrer, plier, dresser ou planer, pour le travail des métaux (autres qu'à commande numérique)")</f>
        <v>Machines, y.c. -les presses-, à rouler, cintrer, plier, dresser ou planer, pour le travail des métaux (autres qu'à commande numérique)</v>
      </c>
    </row>
    <row r="1391" spans="1:4" x14ac:dyDescent="0.25">
      <c r="A1391" t="str">
        <f>T("   ZZZ_Monde")</f>
        <v xml:space="preserve">   ZZZ_Monde</v>
      </c>
      <c r="B1391" t="str">
        <f>T("   ZZZ_Monde")</f>
        <v xml:space="preserve">   ZZZ_Monde</v>
      </c>
      <c r="C1391">
        <v>276780</v>
      </c>
      <c r="D1391">
        <v>165</v>
      </c>
    </row>
    <row r="1392" spans="1:4" x14ac:dyDescent="0.25">
      <c r="A1392" t="str">
        <f>T("   CI")</f>
        <v xml:space="preserve">   CI</v>
      </c>
      <c r="B1392" t="str">
        <f>T("   Côte d'Ivoire")</f>
        <v xml:space="preserve">   Côte d'Ivoire</v>
      </c>
      <c r="C1392">
        <v>276780</v>
      </c>
      <c r="D1392">
        <v>165</v>
      </c>
    </row>
    <row r="1393" spans="1:4" x14ac:dyDescent="0.25">
      <c r="A1393" t="str">
        <f>T("846239")</f>
        <v>846239</v>
      </c>
      <c r="B1393" t="str">
        <f>T("Machines, y.c. -les presses-, à cisailler, pour le travail des métaux (autres que les machines combinées à poinçonner et à cisailler et autres qu'à commande numérique)")</f>
        <v>Machines, y.c. -les presses-, à cisailler, pour le travail des métaux (autres que les machines combinées à poinçonner et à cisailler et autres qu'à commande numérique)</v>
      </c>
    </row>
    <row r="1394" spans="1:4" x14ac:dyDescent="0.25">
      <c r="A1394" t="str">
        <f>T("   ZZZ_Monde")</f>
        <v xml:space="preserve">   ZZZ_Monde</v>
      </c>
      <c r="B1394" t="str">
        <f>T("   ZZZ_Monde")</f>
        <v xml:space="preserve">   ZZZ_Monde</v>
      </c>
      <c r="C1394">
        <v>818862</v>
      </c>
      <c r="D1394">
        <v>530</v>
      </c>
    </row>
    <row r="1395" spans="1:4" x14ac:dyDescent="0.25">
      <c r="A1395" t="str">
        <f>T("   CI")</f>
        <v xml:space="preserve">   CI</v>
      </c>
      <c r="B1395" t="str">
        <f>T("   Côte d'Ivoire")</f>
        <v xml:space="preserve">   Côte d'Ivoire</v>
      </c>
      <c r="C1395">
        <v>818862</v>
      </c>
      <c r="D1395">
        <v>530</v>
      </c>
    </row>
    <row r="1396" spans="1:4" x14ac:dyDescent="0.25">
      <c r="A1396" t="str">
        <f>T("846291")</f>
        <v>846291</v>
      </c>
      <c r="B1396" t="str">
        <f>T("Presses hydrauliques pour le travail des métaux ou des carbures métalliques (à l'excl. des presses à forger, à rouler, à cintrer, à dresses ou à planer)")</f>
        <v>Presses hydrauliques pour le travail des métaux ou des carbures métalliques (à l'excl. des presses à forger, à rouler, à cintrer, à dresses ou à planer)</v>
      </c>
    </row>
    <row r="1397" spans="1:4" x14ac:dyDescent="0.25">
      <c r="A1397" t="str">
        <f>T("   ZZZ_Monde")</f>
        <v xml:space="preserve">   ZZZ_Monde</v>
      </c>
      <c r="B1397" t="str">
        <f>T("   ZZZ_Monde")</f>
        <v xml:space="preserve">   ZZZ_Monde</v>
      </c>
      <c r="C1397">
        <v>71501</v>
      </c>
      <c r="D1397">
        <v>400</v>
      </c>
    </row>
    <row r="1398" spans="1:4" x14ac:dyDescent="0.25">
      <c r="A1398" t="str">
        <f>T("   CI")</f>
        <v xml:space="preserve">   CI</v>
      </c>
      <c r="B1398" t="str">
        <f>T("   Côte d'Ivoire")</f>
        <v xml:space="preserve">   Côte d'Ivoire</v>
      </c>
      <c r="C1398">
        <v>71501</v>
      </c>
      <c r="D1398">
        <v>400</v>
      </c>
    </row>
    <row r="1399" spans="1:4" x14ac:dyDescent="0.25">
      <c r="A1399" t="str">
        <f>T("846299")</f>
        <v>846299</v>
      </c>
      <c r="B1399" t="str">
        <f>T("Presses autres qu'hydrauliques pour le travail des métaux (à l'excl. des presses à forger, à rouler, à cintrer, dresser ou planer)")</f>
        <v>Presses autres qu'hydrauliques pour le travail des métaux (à l'excl. des presses à forger, à rouler, à cintrer, dresser ou planer)</v>
      </c>
    </row>
    <row r="1400" spans="1:4" x14ac:dyDescent="0.25">
      <c r="A1400" t="str">
        <f>T("   ZZZ_Monde")</f>
        <v xml:space="preserve">   ZZZ_Monde</v>
      </c>
      <c r="B1400" t="str">
        <f>T("   ZZZ_Monde")</f>
        <v xml:space="preserve">   ZZZ_Monde</v>
      </c>
      <c r="C1400">
        <v>80738080</v>
      </c>
      <c r="D1400">
        <v>11800</v>
      </c>
    </row>
    <row r="1401" spans="1:4" x14ac:dyDescent="0.25">
      <c r="A1401" t="str">
        <f>T("   CI")</f>
        <v xml:space="preserve">   CI</v>
      </c>
      <c r="B1401" t="str">
        <f>T("   Côte d'Ivoire")</f>
        <v xml:space="preserve">   Côte d'Ivoire</v>
      </c>
      <c r="C1401">
        <v>738080</v>
      </c>
      <c r="D1401">
        <v>1800</v>
      </c>
    </row>
    <row r="1402" spans="1:4" x14ac:dyDescent="0.25">
      <c r="A1402" t="str">
        <f>T("   ML")</f>
        <v xml:space="preserve">   ML</v>
      </c>
      <c r="B1402" t="str">
        <f>T("   Mali")</f>
        <v xml:space="preserve">   Mali</v>
      </c>
      <c r="C1402">
        <v>80000000</v>
      </c>
      <c r="D1402">
        <v>10000</v>
      </c>
    </row>
    <row r="1403" spans="1:4" x14ac:dyDescent="0.25">
      <c r="A1403" t="str">
        <f>T("846390")</f>
        <v>846390</v>
      </c>
      <c r="B1403" t="str">
        <f>T("Machines-outils pour le travail des métaux, des carbures métalliques frittés ou des cermets, sans enlèvement de matière (sauf machines à forger, à rouler, à cintrer, dresser ou planer; machines à cisailler, à poinçonner ou à gruger; presses; bancs à étire")</f>
        <v>Machines-outils pour le travail des métaux, des carbures métalliques frittés ou des cermets, sans enlèvement de matière (sauf machines à forger, à rouler, à cintrer, dresser ou planer; machines à cisailler, à poinçonner ou à gruger; presses; bancs à étire</v>
      </c>
    </row>
    <row r="1404" spans="1:4" x14ac:dyDescent="0.25">
      <c r="A1404" t="str">
        <f>T("   ZZZ_Monde")</f>
        <v xml:space="preserve">   ZZZ_Monde</v>
      </c>
      <c r="B1404" t="str">
        <f>T("   ZZZ_Monde")</f>
        <v xml:space="preserve">   ZZZ_Monde</v>
      </c>
      <c r="C1404">
        <v>5000000</v>
      </c>
      <c r="D1404">
        <v>5000</v>
      </c>
    </row>
    <row r="1405" spans="1:4" x14ac:dyDescent="0.25">
      <c r="A1405" t="str">
        <f>T("   BF")</f>
        <v xml:space="preserve">   BF</v>
      </c>
      <c r="B1405" t="str">
        <f>T("   Burkina Faso")</f>
        <v xml:space="preserve">   Burkina Faso</v>
      </c>
      <c r="C1405">
        <v>5000000</v>
      </c>
      <c r="D1405">
        <v>5000</v>
      </c>
    </row>
    <row r="1406" spans="1:4" x14ac:dyDescent="0.25">
      <c r="A1406" t="str">
        <f>T("846592")</f>
        <v>846592</v>
      </c>
      <c r="B1406" t="str">
        <f>T("Machines à dégauchir ou à raboter; machines à fraiser ou à moulurer, pour le travail du bois, des matières plastiques dures, etc. (autres que les machines pour emploi à la main et les machines pouvant effectuer différents types d'opérations d'usinage sans")</f>
        <v>Machines à dégauchir ou à raboter; machines à fraiser ou à moulurer, pour le travail du bois, des matières plastiques dures, etc. (autres que les machines pour emploi à la main et les machines pouvant effectuer différents types d'opérations d'usinage sans</v>
      </c>
    </row>
    <row r="1407" spans="1:4" x14ac:dyDescent="0.25">
      <c r="A1407" t="str">
        <f>T("   ZZZ_Monde")</f>
        <v xml:space="preserve">   ZZZ_Monde</v>
      </c>
      <c r="B1407" t="str">
        <f>T("   ZZZ_Monde")</f>
        <v xml:space="preserve">   ZZZ_Monde</v>
      </c>
      <c r="C1407">
        <v>140696</v>
      </c>
      <c r="D1407">
        <v>85</v>
      </c>
    </row>
    <row r="1408" spans="1:4" x14ac:dyDescent="0.25">
      <c r="A1408" t="str">
        <f>T("   CI")</f>
        <v xml:space="preserve">   CI</v>
      </c>
      <c r="B1408" t="str">
        <f>T("   Côte d'Ivoire")</f>
        <v xml:space="preserve">   Côte d'Ivoire</v>
      </c>
      <c r="C1408">
        <v>140696</v>
      </c>
      <c r="D1408">
        <v>85</v>
      </c>
    </row>
    <row r="1409" spans="1:4" x14ac:dyDescent="0.25">
      <c r="A1409" t="str">
        <f>T("846719")</f>
        <v>846719</v>
      </c>
      <c r="B1409" t="str">
        <f>T("OUTILS PNEUMATIQUES, POUR EMPLOI À LA MAIN (À L'EXCL. DES OUTILS ROTATIFS) [01/01/1988-31/12/1994: OUTILS PNEUMATIQUES POUR EMPLOI A LA MAIN, AUTRES QUE ROTATIFS]")</f>
        <v>OUTILS PNEUMATIQUES, POUR EMPLOI À LA MAIN (À L'EXCL. DES OUTILS ROTATIFS) [01/01/1988-31/12/1994: OUTILS PNEUMATIQUES POUR EMPLOI A LA MAIN, AUTRES QUE ROTATIFS]</v>
      </c>
    </row>
    <row r="1410" spans="1:4" x14ac:dyDescent="0.25">
      <c r="A1410" t="str">
        <f>T("   ZZZ_Monde")</f>
        <v xml:space="preserve">   ZZZ_Monde</v>
      </c>
      <c r="B1410" t="str">
        <f>T("   ZZZ_Monde")</f>
        <v xml:space="preserve">   ZZZ_Monde</v>
      </c>
      <c r="C1410">
        <v>226470</v>
      </c>
      <c r="D1410">
        <v>127</v>
      </c>
    </row>
    <row r="1411" spans="1:4" x14ac:dyDescent="0.25">
      <c r="A1411" t="str">
        <f>T("   CI")</f>
        <v xml:space="preserve">   CI</v>
      </c>
      <c r="B1411" t="str">
        <f>T("   Côte d'Ivoire")</f>
        <v xml:space="preserve">   Côte d'Ivoire</v>
      </c>
      <c r="C1411">
        <v>226470</v>
      </c>
      <c r="D1411">
        <v>127</v>
      </c>
    </row>
    <row r="1412" spans="1:4" x14ac:dyDescent="0.25">
      <c r="A1412" t="str">
        <f>T("847180")</f>
        <v>847180</v>
      </c>
      <c r="B1412" t="str">
        <f>T("Unités de machines automatiques de traitement de l'information, numériques (à l'excl. des unités de traitement, unités d'entrée ou de sortie et unités de mémoire)")</f>
        <v>Unités de machines automatiques de traitement de l'information, numériques (à l'excl. des unités de traitement, unités d'entrée ou de sortie et unités de mémoire)</v>
      </c>
    </row>
    <row r="1413" spans="1:4" x14ac:dyDescent="0.25">
      <c r="A1413" t="str">
        <f>T("   ZZZ_Monde")</f>
        <v xml:space="preserve">   ZZZ_Monde</v>
      </c>
      <c r="B1413" t="str">
        <f>T("   ZZZ_Monde")</f>
        <v xml:space="preserve">   ZZZ_Monde</v>
      </c>
      <c r="C1413">
        <v>10229040</v>
      </c>
      <c r="D1413">
        <v>29</v>
      </c>
    </row>
    <row r="1414" spans="1:4" x14ac:dyDescent="0.25">
      <c r="A1414" t="str">
        <f>T("   FR")</f>
        <v xml:space="preserve">   FR</v>
      </c>
      <c r="B1414" t="str">
        <f>T("   France")</f>
        <v xml:space="preserve">   France</v>
      </c>
      <c r="C1414">
        <v>10229040</v>
      </c>
      <c r="D1414">
        <v>29</v>
      </c>
    </row>
    <row r="1415" spans="1:4" x14ac:dyDescent="0.25">
      <c r="A1415" t="str">
        <f>T("847350")</f>
        <v>847350</v>
      </c>
      <c r="B1415" t="str">
        <f>T("Parties et accessoires qui peuvent être utilisés indifféremment avec les machines ou appareils de plusieurs du n° 8469 à 8472, n.d.a.")</f>
        <v>Parties et accessoires qui peuvent être utilisés indifféremment avec les machines ou appareils de plusieurs du n° 8469 à 8472, n.d.a.</v>
      </c>
    </row>
    <row r="1416" spans="1:4" x14ac:dyDescent="0.25">
      <c r="A1416" t="str">
        <f>T("   ZZZ_Monde")</f>
        <v xml:space="preserve">   ZZZ_Monde</v>
      </c>
      <c r="B1416" t="str">
        <f>T("   ZZZ_Monde")</f>
        <v xml:space="preserve">   ZZZ_Monde</v>
      </c>
      <c r="C1416">
        <v>3608760</v>
      </c>
      <c r="D1416">
        <v>9860</v>
      </c>
    </row>
    <row r="1417" spans="1:4" x14ac:dyDescent="0.25">
      <c r="A1417" t="str">
        <f>T("   DE")</f>
        <v xml:space="preserve">   DE</v>
      </c>
      <c r="B1417" t="str">
        <f>T("   Allemagne")</f>
        <v xml:space="preserve">   Allemagne</v>
      </c>
      <c r="C1417">
        <v>3608760</v>
      </c>
      <c r="D1417">
        <v>9860</v>
      </c>
    </row>
    <row r="1418" spans="1:4" x14ac:dyDescent="0.25">
      <c r="A1418" t="str">
        <f>T("847410")</f>
        <v>847410</v>
      </c>
      <c r="B1418" t="str">
        <f>T("Machines et appareils à trier, cribler, séparer ou laver les matières minérales solides, y.c. -les poudres et les pâtes- (à l'excl. des centrifugeuses et des filtres-presses)")</f>
        <v>Machines et appareils à trier, cribler, séparer ou laver les matières minérales solides, y.c. -les poudres et les pâtes- (à l'excl. des centrifugeuses et des filtres-presses)</v>
      </c>
    </row>
    <row r="1419" spans="1:4" x14ac:dyDescent="0.25">
      <c r="A1419" t="str">
        <f>T("   ZZZ_Monde")</f>
        <v xml:space="preserve">   ZZZ_Monde</v>
      </c>
      <c r="B1419" t="str">
        <f>T("   ZZZ_Monde")</f>
        <v xml:space="preserve">   ZZZ_Monde</v>
      </c>
      <c r="C1419">
        <v>3000000</v>
      </c>
      <c r="D1419">
        <v>7000</v>
      </c>
    </row>
    <row r="1420" spans="1:4" x14ac:dyDescent="0.25">
      <c r="A1420" t="str">
        <f>T("   TG")</f>
        <v xml:space="preserve">   TG</v>
      </c>
      <c r="B1420" t="str">
        <f>T("   Togo")</f>
        <v xml:space="preserve">   Togo</v>
      </c>
      <c r="C1420">
        <v>3000000</v>
      </c>
      <c r="D1420">
        <v>7000</v>
      </c>
    </row>
    <row r="1421" spans="1:4" x14ac:dyDescent="0.25">
      <c r="A1421" t="str">
        <f>T("847431")</f>
        <v>847431</v>
      </c>
      <c r="B1421" t="str">
        <f>T("Bétonnières et appareils à gâcher le ciment (sauf montés sur wagons de chemins de fer ou sur châssis de véhicules automobiles)")</f>
        <v>Bétonnières et appareils à gâcher le ciment (sauf montés sur wagons de chemins de fer ou sur châssis de véhicules automobiles)</v>
      </c>
    </row>
    <row r="1422" spans="1:4" x14ac:dyDescent="0.25">
      <c r="A1422" t="str">
        <f>T("   ZZZ_Monde")</f>
        <v xml:space="preserve">   ZZZ_Monde</v>
      </c>
      <c r="B1422" t="str">
        <f>T("   ZZZ_Monde")</f>
        <v xml:space="preserve">   ZZZ_Monde</v>
      </c>
      <c r="C1422">
        <v>383627109</v>
      </c>
      <c r="D1422">
        <v>93148</v>
      </c>
    </row>
    <row r="1423" spans="1:4" x14ac:dyDescent="0.25">
      <c r="A1423" t="str">
        <f>T("   CI")</f>
        <v xml:space="preserve">   CI</v>
      </c>
      <c r="B1423" t="str">
        <f>T("   Côte d'Ivoire")</f>
        <v xml:space="preserve">   Côte d'Ivoire</v>
      </c>
      <c r="C1423">
        <v>2080572</v>
      </c>
      <c r="D1423">
        <v>5590</v>
      </c>
    </row>
    <row r="1424" spans="1:4" x14ac:dyDescent="0.25">
      <c r="A1424" t="str">
        <f>T("   GH")</f>
        <v xml:space="preserve">   GH</v>
      </c>
      <c r="B1424" t="str">
        <f>T("   Ghana")</f>
        <v xml:space="preserve">   Ghana</v>
      </c>
      <c r="C1424">
        <v>152550438</v>
      </c>
      <c r="D1424">
        <v>21031</v>
      </c>
    </row>
    <row r="1425" spans="1:4" x14ac:dyDescent="0.25">
      <c r="A1425" t="str">
        <f>T("   JP")</f>
        <v xml:space="preserve">   JP</v>
      </c>
      <c r="B1425" t="str">
        <f>T("   Japon")</f>
        <v xml:space="preserve">   Japon</v>
      </c>
      <c r="C1425">
        <v>33432066</v>
      </c>
      <c r="D1425">
        <v>16000</v>
      </c>
    </row>
    <row r="1426" spans="1:4" x14ac:dyDescent="0.25">
      <c r="A1426" t="str">
        <f>T("   NG")</f>
        <v xml:space="preserve">   NG</v>
      </c>
      <c r="B1426" t="str">
        <f>T("   Nigéria")</f>
        <v xml:space="preserve">   Nigéria</v>
      </c>
      <c r="C1426">
        <v>6729166</v>
      </c>
      <c r="D1426">
        <v>1631</v>
      </c>
    </row>
    <row r="1427" spans="1:4" x14ac:dyDescent="0.25">
      <c r="A1427" t="str">
        <f>T("   TG")</f>
        <v xml:space="preserve">   TG</v>
      </c>
      <c r="B1427" t="str">
        <f>T("   Togo")</f>
        <v xml:space="preserve">   Togo</v>
      </c>
      <c r="C1427">
        <v>188834867</v>
      </c>
      <c r="D1427">
        <v>48896</v>
      </c>
    </row>
    <row r="1428" spans="1:4" x14ac:dyDescent="0.25">
      <c r="A1428" t="str">
        <f>T("847439")</f>
        <v>847439</v>
      </c>
      <c r="B1428" t="str">
        <f>T("Machines et appareils à mélanger ou à malaxer les matières minérales solides, y.c. -les poudres et les pâtes- (sauf bétonnières et appareils à gâcher le ciment, machines à mélanger les matières minérales au bitume et sauf calandres)")</f>
        <v>Machines et appareils à mélanger ou à malaxer les matières minérales solides, y.c. -les poudres et les pâtes- (sauf bétonnières et appareils à gâcher le ciment, machines à mélanger les matières minérales au bitume et sauf calandres)</v>
      </c>
    </row>
    <row r="1429" spans="1:4" x14ac:dyDescent="0.25">
      <c r="A1429" t="str">
        <f>T("   ZZZ_Monde")</f>
        <v xml:space="preserve">   ZZZ_Monde</v>
      </c>
      <c r="B1429" t="str">
        <f>T("   ZZZ_Monde")</f>
        <v xml:space="preserve">   ZZZ_Monde</v>
      </c>
      <c r="C1429">
        <v>65708975</v>
      </c>
      <c r="D1429">
        <v>32209</v>
      </c>
    </row>
    <row r="1430" spans="1:4" x14ac:dyDescent="0.25">
      <c r="A1430" t="str">
        <f>T("   NG")</f>
        <v xml:space="preserve">   NG</v>
      </c>
      <c r="B1430" t="str">
        <f>T("   Nigéria")</f>
        <v xml:space="preserve">   Nigéria</v>
      </c>
      <c r="C1430">
        <v>22219950</v>
      </c>
      <c r="D1430">
        <v>5403</v>
      </c>
    </row>
    <row r="1431" spans="1:4" x14ac:dyDescent="0.25">
      <c r="A1431" t="str">
        <f>T("   TG")</f>
        <v xml:space="preserve">   TG</v>
      </c>
      <c r="B1431" t="str">
        <f>T("   Togo")</f>
        <v xml:space="preserve">   Togo</v>
      </c>
      <c r="C1431">
        <v>43489025</v>
      </c>
      <c r="D1431">
        <v>26806</v>
      </c>
    </row>
    <row r="1432" spans="1:4" x14ac:dyDescent="0.25">
      <c r="A1432" t="str">
        <f>T("847910")</f>
        <v>847910</v>
      </c>
      <c r="B1432" t="str">
        <f>T("Machines et appareils pour les travaux publics, le bâtiment ou les travaux analogues, n.d.a.")</f>
        <v>Machines et appareils pour les travaux publics, le bâtiment ou les travaux analogues, n.d.a.</v>
      </c>
    </row>
    <row r="1433" spans="1:4" x14ac:dyDescent="0.25">
      <c r="A1433" t="str">
        <f>T("   ZZZ_Monde")</f>
        <v xml:space="preserve">   ZZZ_Monde</v>
      </c>
      <c r="B1433" t="str">
        <f>T("   ZZZ_Monde")</f>
        <v xml:space="preserve">   ZZZ_Monde</v>
      </c>
      <c r="C1433">
        <v>389107760</v>
      </c>
      <c r="D1433">
        <v>241200</v>
      </c>
    </row>
    <row r="1434" spans="1:4" x14ac:dyDescent="0.25">
      <c r="A1434" t="str">
        <f>T("   CI")</f>
        <v xml:space="preserve">   CI</v>
      </c>
      <c r="B1434" t="str">
        <f>T("   Côte d'Ivoire")</f>
        <v xml:space="preserve">   Côte d'Ivoire</v>
      </c>
      <c r="C1434">
        <v>50198483</v>
      </c>
      <c r="D1434">
        <v>73800</v>
      </c>
    </row>
    <row r="1435" spans="1:4" x14ac:dyDescent="0.25">
      <c r="A1435" t="str">
        <f>T("   GH")</f>
        <v xml:space="preserve">   GH</v>
      </c>
      <c r="B1435" t="str">
        <f>T("   Ghana")</f>
        <v xml:space="preserve">   Ghana</v>
      </c>
      <c r="C1435">
        <v>38606000</v>
      </c>
      <c r="D1435">
        <v>44500</v>
      </c>
    </row>
    <row r="1436" spans="1:4" x14ac:dyDescent="0.25">
      <c r="A1436" t="str">
        <f>T("   JP")</f>
        <v xml:space="preserve">   JP</v>
      </c>
      <c r="B1436" t="str">
        <f>T("   Japon")</f>
        <v xml:space="preserve">   Japon</v>
      </c>
      <c r="C1436">
        <v>170404902</v>
      </c>
      <c r="D1436">
        <v>52100</v>
      </c>
    </row>
    <row r="1437" spans="1:4" x14ac:dyDescent="0.25">
      <c r="A1437" t="str">
        <f>T("   NG")</f>
        <v xml:space="preserve">   NG</v>
      </c>
      <c r="B1437" t="str">
        <f>T("   Nigéria")</f>
        <v xml:space="preserve">   Nigéria</v>
      </c>
      <c r="C1437">
        <v>31725200</v>
      </c>
      <c r="D1437">
        <v>700</v>
      </c>
    </row>
    <row r="1438" spans="1:4" x14ac:dyDescent="0.25">
      <c r="A1438" t="str">
        <f>T("   TG")</f>
        <v xml:space="preserve">   TG</v>
      </c>
      <c r="B1438" t="str">
        <f>T("   Togo")</f>
        <v xml:space="preserve">   Togo</v>
      </c>
      <c r="C1438">
        <v>98173175</v>
      </c>
      <c r="D1438">
        <v>70100</v>
      </c>
    </row>
    <row r="1439" spans="1:4" x14ac:dyDescent="0.25">
      <c r="A1439" t="str">
        <f>T("847982")</f>
        <v>847982</v>
      </c>
      <c r="B1439" t="str">
        <f>T("Machines et appareils à mélanger, malaxer, concasser, broyer, cribler, tamiser, homogénéiser, émulsionner ou brasser, n.d.a. (à l'excl. des robots industriels)")</f>
        <v>Machines et appareils à mélanger, malaxer, concasser, broyer, cribler, tamiser, homogénéiser, émulsionner ou brasser, n.d.a. (à l'excl. des robots industriels)</v>
      </c>
    </row>
    <row r="1440" spans="1:4" x14ac:dyDescent="0.25">
      <c r="A1440" t="str">
        <f>T("   ZZZ_Monde")</f>
        <v xml:space="preserve">   ZZZ_Monde</v>
      </c>
      <c r="B1440" t="str">
        <f>T("   ZZZ_Monde")</f>
        <v xml:space="preserve">   ZZZ_Monde</v>
      </c>
      <c r="C1440">
        <v>51303044</v>
      </c>
      <c r="D1440">
        <v>36250</v>
      </c>
    </row>
    <row r="1441" spans="1:4" x14ac:dyDescent="0.25">
      <c r="A1441" t="str">
        <f>T("   CI")</f>
        <v xml:space="preserve">   CI</v>
      </c>
      <c r="B1441" t="str">
        <f>T("   Côte d'Ivoire")</f>
        <v xml:space="preserve">   Côte d'Ivoire</v>
      </c>
      <c r="C1441">
        <v>1799070</v>
      </c>
      <c r="D1441">
        <v>2200</v>
      </c>
    </row>
    <row r="1442" spans="1:4" x14ac:dyDescent="0.25">
      <c r="A1442" t="str">
        <f>T("   CN")</f>
        <v xml:space="preserve">   CN</v>
      </c>
      <c r="B1442" t="str">
        <f>T("   Chine")</f>
        <v xml:space="preserve">   Chine</v>
      </c>
      <c r="C1442">
        <v>15957316</v>
      </c>
      <c r="D1442">
        <v>13900</v>
      </c>
    </row>
    <row r="1443" spans="1:4" x14ac:dyDescent="0.25">
      <c r="A1443" t="str">
        <f>T("   TG")</f>
        <v xml:space="preserve">   TG</v>
      </c>
      <c r="B1443" t="str">
        <f>T("   Togo")</f>
        <v xml:space="preserve">   Togo</v>
      </c>
      <c r="C1443">
        <v>33546658</v>
      </c>
      <c r="D1443">
        <v>20150</v>
      </c>
    </row>
    <row r="1444" spans="1:4" x14ac:dyDescent="0.25">
      <c r="A1444" t="str">
        <f>T("847989")</f>
        <v>847989</v>
      </c>
      <c r="B1444" t="str">
        <f>T("Machines et appareils, y.c. les appareils mécaniques, n.d.a.")</f>
        <v>Machines et appareils, y.c. les appareils mécaniques, n.d.a.</v>
      </c>
    </row>
    <row r="1445" spans="1:4" x14ac:dyDescent="0.25">
      <c r="A1445" t="str">
        <f>T("   ZZZ_Monde")</f>
        <v xml:space="preserve">   ZZZ_Monde</v>
      </c>
      <c r="B1445" t="str">
        <f>T("   ZZZ_Monde")</f>
        <v xml:space="preserve">   ZZZ_Monde</v>
      </c>
      <c r="C1445">
        <v>217780327</v>
      </c>
      <c r="D1445">
        <v>11788</v>
      </c>
    </row>
    <row r="1446" spans="1:4" x14ac:dyDescent="0.25">
      <c r="A1446" t="str">
        <f>T("   GA")</f>
        <v xml:space="preserve">   GA</v>
      </c>
      <c r="B1446" t="str">
        <f>T("   Gabon")</f>
        <v xml:space="preserve">   Gabon</v>
      </c>
      <c r="C1446">
        <v>3900000</v>
      </c>
      <c r="D1446">
        <v>1802</v>
      </c>
    </row>
    <row r="1447" spans="1:4" x14ac:dyDescent="0.25">
      <c r="A1447" t="str">
        <f>T("   GH")</f>
        <v xml:space="preserve">   GH</v>
      </c>
      <c r="B1447" t="str">
        <f>T("   Ghana")</f>
        <v xml:space="preserve">   Ghana</v>
      </c>
      <c r="C1447">
        <v>31563631</v>
      </c>
      <c r="D1447">
        <v>5986</v>
      </c>
    </row>
    <row r="1448" spans="1:4" x14ac:dyDescent="0.25">
      <c r="A1448" t="str">
        <f>T("   JP")</f>
        <v xml:space="preserve">   JP</v>
      </c>
      <c r="B1448" t="str">
        <f>T("   Japon")</f>
        <v xml:space="preserve">   Japon</v>
      </c>
      <c r="C1448">
        <v>182316696</v>
      </c>
      <c r="D1448">
        <v>4000</v>
      </c>
    </row>
    <row r="1449" spans="1:4" x14ac:dyDescent="0.25">
      <c r="A1449" t="str">
        <f>T("847990")</f>
        <v>847990</v>
      </c>
      <c r="B1449" t="str">
        <f>T("Parties de machines et appareils, y.c. les appareils mécaniques, n.d.a.")</f>
        <v>Parties de machines et appareils, y.c. les appareils mécaniques, n.d.a.</v>
      </c>
    </row>
    <row r="1450" spans="1:4" x14ac:dyDescent="0.25">
      <c r="A1450" t="str">
        <f>T("   ZZZ_Monde")</f>
        <v xml:space="preserve">   ZZZ_Monde</v>
      </c>
      <c r="B1450" t="str">
        <f>T("   ZZZ_Monde")</f>
        <v xml:space="preserve">   ZZZ_Monde</v>
      </c>
      <c r="C1450">
        <v>81154183</v>
      </c>
      <c r="D1450">
        <v>15165</v>
      </c>
    </row>
    <row r="1451" spans="1:4" x14ac:dyDescent="0.25">
      <c r="A1451" t="str">
        <f>T("   CN")</f>
        <v xml:space="preserve">   CN</v>
      </c>
      <c r="B1451" t="str">
        <f>T("   Chine")</f>
        <v xml:space="preserve">   Chine</v>
      </c>
      <c r="C1451">
        <v>4301746</v>
      </c>
      <c r="D1451">
        <v>890</v>
      </c>
    </row>
    <row r="1452" spans="1:4" x14ac:dyDescent="0.25">
      <c r="A1452" t="str">
        <f>T("   GH")</f>
        <v xml:space="preserve">   GH</v>
      </c>
      <c r="B1452" t="str">
        <f>T("   Ghana")</f>
        <v xml:space="preserve">   Ghana</v>
      </c>
      <c r="C1452">
        <v>76852437</v>
      </c>
      <c r="D1452">
        <v>14275</v>
      </c>
    </row>
    <row r="1453" spans="1:4" x14ac:dyDescent="0.25">
      <c r="A1453" t="str">
        <f>T("850131")</f>
        <v>850131</v>
      </c>
      <c r="B1453" t="str">
        <f>T("Moteurs à courant continu, puissance &lt;= 750 W mais &gt; 37,5 W et génératrices à courant continu, puissance &lt;= 750 W")</f>
        <v>Moteurs à courant continu, puissance &lt;= 750 W mais &gt; 37,5 W et génératrices à courant continu, puissance &lt;= 750 W</v>
      </c>
    </row>
    <row r="1454" spans="1:4" x14ac:dyDescent="0.25">
      <c r="A1454" t="str">
        <f>T("   ZZZ_Monde")</f>
        <v xml:space="preserve">   ZZZ_Monde</v>
      </c>
      <c r="B1454" t="str">
        <f>T("   ZZZ_Monde")</f>
        <v xml:space="preserve">   ZZZ_Monde</v>
      </c>
      <c r="C1454">
        <v>1657822</v>
      </c>
      <c r="D1454">
        <v>1700</v>
      </c>
    </row>
    <row r="1455" spans="1:4" x14ac:dyDescent="0.25">
      <c r="A1455" t="str">
        <f>T("   CI")</f>
        <v xml:space="preserve">   CI</v>
      </c>
      <c r="B1455" t="str">
        <f>T("   Côte d'Ivoire")</f>
        <v xml:space="preserve">   Côte d'Ivoire</v>
      </c>
      <c r="C1455">
        <v>1657822</v>
      </c>
      <c r="D1455">
        <v>1700</v>
      </c>
    </row>
    <row r="1456" spans="1:4" x14ac:dyDescent="0.25">
      <c r="A1456" t="str">
        <f>T("850132")</f>
        <v>850132</v>
      </c>
      <c r="B1456" t="str">
        <f>T("Moteurs et génératrices à courant continu, puissance &gt; 750 W mais &lt;= 75 kW")</f>
        <v>Moteurs et génératrices à courant continu, puissance &gt; 750 W mais &lt;= 75 kW</v>
      </c>
    </row>
    <row r="1457" spans="1:4" x14ac:dyDescent="0.25">
      <c r="A1457" t="str">
        <f>T("   ZZZ_Monde")</f>
        <v xml:space="preserve">   ZZZ_Monde</v>
      </c>
      <c r="B1457" t="str">
        <f>T("   ZZZ_Monde")</f>
        <v xml:space="preserve">   ZZZ_Monde</v>
      </c>
      <c r="C1457">
        <v>799284</v>
      </c>
      <c r="D1457">
        <v>800</v>
      </c>
    </row>
    <row r="1458" spans="1:4" x14ac:dyDescent="0.25">
      <c r="A1458" t="str">
        <f>T("   CI")</f>
        <v xml:space="preserve">   CI</v>
      </c>
      <c r="B1458" t="str">
        <f>T("   Côte d'Ivoire")</f>
        <v xml:space="preserve">   Côte d'Ivoire</v>
      </c>
      <c r="C1458">
        <v>799284</v>
      </c>
      <c r="D1458">
        <v>800</v>
      </c>
    </row>
    <row r="1459" spans="1:4" x14ac:dyDescent="0.25">
      <c r="A1459" t="str">
        <f>T("850133")</f>
        <v>850133</v>
      </c>
      <c r="B1459" t="str">
        <f>T("Moteurs et génératrices à courant continu, puissance &gt; 75 kW mais &lt;= 375 kW")</f>
        <v>Moteurs et génératrices à courant continu, puissance &gt; 75 kW mais &lt;= 375 kW</v>
      </c>
    </row>
    <row r="1460" spans="1:4" x14ac:dyDescent="0.25">
      <c r="A1460" t="str">
        <f>T("   ZZZ_Monde")</f>
        <v xml:space="preserve">   ZZZ_Monde</v>
      </c>
      <c r="B1460" t="str">
        <f>T("   ZZZ_Monde")</f>
        <v xml:space="preserve">   ZZZ_Monde</v>
      </c>
      <c r="C1460">
        <v>4032720</v>
      </c>
      <c r="D1460">
        <v>600</v>
      </c>
    </row>
    <row r="1461" spans="1:4" x14ac:dyDescent="0.25">
      <c r="A1461" t="str">
        <f>T("   TG")</f>
        <v xml:space="preserve">   TG</v>
      </c>
      <c r="B1461" t="str">
        <f>T("   Togo")</f>
        <v xml:space="preserve">   Togo</v>
      </c>
      <c r="C1461">
        <v>4032720</v>
      </c>
      <c r="D1461">
        <v>600</v>
      </c>
    </row>
    <row r="1462" spans="1:4" x14ac:dyDescent="0.25">
      <c r="A1462" t="str">
        <f>T("850140")</f>
        <v>850140</v>
      </c>
      <c r="B1462" t="str">
        <f>T("Moteurs à courant alternatif, monophasés")</f>
        <v>Moteurs à courant alternatif, monophasés</v>
      </c>
    </row>
    <row r="1463" spans="1:4" x14ac:dyDescent="0.25">
      <c r="A1463" t="str">
        <f>T("   ZZZ_Monde")</f>
        <v xml:space="preserve">   ZZZ_Monde</v>
      </c>
      <c r="B1463" t="str">
        <f>T("   ZZZ_Monde")</f>
        <v xml:space="preserve">   ZZZ_Monde</v>
      </c>
      <c r="C1463">
        <v>2550000</v>
      </c>
      <c r="D1463">
        <v>3600</v>
      </c>
    </row>
    <row r="1464" spans="1:4" x14ac:dyDescent="0.25">
      <c r="A1464" t="str">
        <f>T("   GA")</f>
        <v xml:space="preserve">   GA</v>
      </c>
      <c r="B1464" t="str">
        <f>T("   Gabon")</f>
        <v xml:space="preserve">   Gabon</v>
      </c>
      <c r="C1464">
        <v>2550000</v>
      </c>
      <c r="D1464">
        <v>3600</v>
      </c>
    </row>
    <row r="1465" spans="1:4" x14ac:dyDescent="0.25">
      <c r="A1465" t="str">
        <f>T("850152")</f>
        <v>850152</v>
      </c>
      <c r="B1465" t="str">
        <f>T("Moteurs à courant alternatif, polyphasés, puissance &gt; 750 W mais &lt;= 75 kW")</f>
        <v>Moteurs à courant alternatif, polyphasés, puissance &gt; 750 W mais &lt;= 75 kW</v>
      </c>
    </row>
    <row r="1466" spans="1:4" x14ac:dyDescent="0.25">
      <c r="A1466" t="str">
        <f>T("   ZZZ_Monde")</f>
        <v xml:space="preserve">   ZZZ_Monde</v>
      </c>
      <c r="B1466" t="str">
        <f>T("   ZZZ_Monde")</f>
        <v xml:space="preserve">   ZZZ_Monde</v>
      </c>
      <c r="C1466">
        <v>4867468</v>
      </c>
      <c r="D1466">
        <v>960</v>
      </c>
    </row>
    <row r="1467" spans="1:4" x14ac:dyDescent="0.25">
      <c r="A1467" t="str">
        <f>T("   TG")</f>
        <v xml:space="preserve">   TG</v>
      </c>
      <c r="B1467" t="str">
        <f>T("   Togo")</f>
        <v xml:space="preserve">   Togo</v>
      </c>
      <c r="C1467">
        <v>4867468</v>
      </c>
      <c r="D1467">
        <v>960</v>
      </c>
    </row>
    <row r="1468" spans="1:4" x14ac:dyDescent="0.25">
      <c r="A1468" t="str">
        <f>T("850161")</f>
        <v>850161</v>
      </c>
      <c r="B1468" t="str">
        <f>T("Alternateurs, puissance &lt;= 75 kVA")</f>
        <v>Alternateurs, puissance &lt;= 75 kVA</v>
      </c>
    </row>
    <row r="1469" spans="1:4" x14ac:dyDescent="0.25">
      <c r="A1469" t="str">
        <f>T("   ZZZ_Monde")</f>
        <v xml:space="preserve">   ZZZ_Monde</v>
      </c>
      <c r="B1469" t="str">
        <f>T("   ZZZ_Monde")</f>
        <v xml:space="preserve">   ZZZ_Monde</v>
      </c>
      <c r="C1469">
        <v>30933552</v>
      </c>
      <c r="D1469">
        <v>3585</v>
      </c>
    </row>
    <row r="1470" spans="1:4" x14ac:dyDescent="0.25">
      <c r="A1470" t="str">
        <f>T("   BF")</f>
        <v xml:space="preserve">   BF</v>
      </c>
      <c r="B1470" t="str">
        <f>T("   Burkina Faso")</f>
        <v xml:space="preserve">   Burkina Faso</v>
      </c>
      <c r="C1470">
        <v>5282905</v>
      </c>
      <c r="D1470">
        <v>197</v>
      </c>
    </row>
    <row r="1471" spans="1:4" x14ac:dyDescent="0.25">
      <c r="A1471" t="str">
        <f>T("   TG")</f>
        <v xml:space="preserve">   TG</v>
      </c>
      <c r="B1471" t="str">
        <f>T("   Togo")</f>
        <v xml:space="preserve">   Togo</v>
      </c>
      <c r="C1471">
        <v>25650647</v>
      </c>
      <c r="D1471">
        <v>3388</v>
      </c>
    </row>
    <row r="1472" spans="1:4" x14ac:dyDescent="0.25">
      <c r="A1472" t="str">
        <f>T("850162")</f>
        <v>850162</v>
      </c>
      <c r="B1472" t="str">
        <f>T("Alternateurs, puissance &gt; 75 kVA mais &lt;= 375 kVA")</f>
        <v>Alternateurs, puissance &gt; 75 kVA mais &lt;= 375 kVA</v>
      </c>
    </row>
    <row r="1473" spans="1:4" x14ac:dyDescent="0.25">
      <c r="A1473" t="str">
        <f>T("   ZZZ_Monde")</f>
        <v xml:space="preserve">   ZZZ_Monde</v>
      </c>
      <c r="B1473" t="str">
        <f>T("   ZZZ_Monde")</f>
        <v xml:space="preserve">   ZZZ_Monde</v>
      </c>
      <c r="C1473">
        <v>54753461</v>
      </c>
      <c r="D1473">
        <v>7535</v>
      </c>
    </row>
    <row r="1474" spans="1:4" x14ac:dyDescent="0.25">
      <c r="A1474" t="str">
        <f>T("   TG")</f>
        <v xml:space="preserve">   TG</v>
      </c>
      <c r="B1474" t="str">
        <f>T("   Togo")</f>
        <v xml:space="preserve">   Togo</v>
      </c>
      <c r="C1474">
        <v>54753461</v>
      </c>
      <c r="D1474">
        <v>7535</v>
      </c>
    </row>
    <row r="1475" spans="1:4" x14ac:dyDescent="0.25">
      <c r="A1475" t="str">
        <f>T("850211")</f>
        <v>850211</v>
      </c>
      <c r="B1475" t="s">
        <v>16</v>
      </c>
    </row>
    <row r="1476" spans="1:4" x14ac:dyDescent="0.25">
      <c r="A1476" t="str">
        <f>T("   ZZZ_Monde")</f>
        <v xml:space="preserve">   ZZZ_Monde</v>
      </c>
      <c r="B1476" t="str">
        <f>T("   ZZZ_Monde")</f>
        <v xml:space="preserve">   ZZZ_Monde</v>
      </c>
      <c r="C1476">
        <v>25991614</v>
      </c>
      <c r="D1476">
        <v>9099</v>
      </c>
    </row>
    <row r="1477" spans="1:4" x14ac:dyDescent="0.25">
      <c r="A1477" t="str">
        <f>T("   TG")</f>
        <v xml:space="preserve">   TG</v>
      </c>
      <c r="B1477" t="str">
        <f>T("   Togo")</f>
        <v xml:space="preserve">   Togo</v>
      </c>
      <c r="C1477">
        <v>25991614</v>
      </c>
      <c r="D1477">
        <v>9099</v>
      </c>
    </row>
    <row r="1478" spans="1:4" x14ac:dyDescent="0.25">
      <c r="A1478" t="str">
        <f>T("850212")</f>
        <v>850212</v>
      </c>
      <c r="B1478" t="str">
        <f>T("GROUPES ÉLECTROGÈNES À MOTEUR À PISTON À ALLUMAGE PAR COMPRESSION 'MOTEURS DIESEL OU SEMI-DIESEL', PUISSANCE &gt; 75 KVA MAIS &lt;= 375 KVA")</f>
        <v>GROUPES ÉLECTROGÈNES À MOTEUR À PISTON À ALLUMAGE PAR COMPRESSION 'MOTEURS DIESEL OU SEMI-DIESEL', PUISSANCE &gt; 75 KVA MAIS &lt;= 375 KVA</v>
      </c>
    </row>
    <row r="1479" spans="1:4" x14ac:dyDescent="0.25">
      <c r="A1479" t="str">
        <f>T("   ZZZ_Monde")</f>
        <v xml:space="preserve">   ZZZ_Monde</v>
      </c>
      <c r="B1479" t="str">
        <f>T("   ZZZ_Monde")</f>
        <v xml:space="preserve">   ZZZ_Monde</v>
      </c>
      <c r="C1479">
        <v>27461426</v>
      </c>
      <c r="D1479">
        <v>14750</v>
      </c>
    </row>
    <row r="1480" spans="1:4" x14ac:dyDescent="0.25">
      <c r="A1480" t="str">
        <f>T("   CI")</f>
        <v xml:space="preserve">   CI</v>
      </c>
      <c r="B1480" t="str">
        <f>T("   Côte d'Ivoire")</f>
        <v xml:space="preserve">   Côte d'Ivoire</v>
      </c>
      <c r="C1480">
        <v>9286001</v>
      </c>
      <c r="D1480">
        <v>6700</v>
      </c>
    </row>
    <row r="1481" spans="1:4" x14ac:dyDescent="0.25">
      <c r="A1481" t="str">
        <f>T("   GA")</f>
        <v xml:space="preserve">   GA</v>
      </c>
      <c r="B1481" t="str">
        <f>T("   Gabon")</f>
        <v xml:space="preserve">   Gabon</v>
      </c>
      <c r="C1481">
        <v>2999705</v>
      </c>
      <c r="D1481">
        <v>1000</v>
      </c>
    </row>
    <row r="1482" spans="1:4" x14ac:dyDescent="0.25">
      <c r="A1482" t="str">
        <f>T("   NE")</f>
        <v xml:space="preserve">   NE</v>
      </c>
      <c r="B1482" t="str">
        <f>T("   Niger")</f>
        <v xml:space="preserve">   Niger</v>
      </c>
      <c r="C1482">
        <v>350000</v>
      </c>
      <c r="D1482">
        <v>2500</v>
      </c>
    </row>
    <row r="1483" spans="1:4" x14ac:dyDescent="0.25">
      <c r="A1483" t="str">
        <f>T("   TG")</f>
        <v xml:space="preserve">   TG</v>
      </c>
      <c r="B1483" t="str">
        <f>T("   Togo")</f>
        <v xml:space="preserve">   Togo</v>
      </c>
      <c r="C1483">
        <v>14825720</v>
      </c>
      <c r="D1483">
        <v>4550</v>
      </c>
    </row>
    <row r="1484" spans="1:4" x14ac:dyDescent="0.25">
      <c r="A1484" t="str">
        <f>T("850213")</f>
        <v>850213</v>
      </c>
      <c r="B1484" t="s">
        <v>17</v>
      </c>
    </row>
    <row r="1485" spans="1:4" x14ac:dyDescent="0.25">
      <c r="A1485" t="str">
        <f>T("   ZZZ_Monde")</f>
        <v xml:space="preserve">   ZZZ_Monde</v>
      </c>
      <c r="B1485" t="str">
        <f>T("   ZZZ_Monde")</f>
        <v xml:space="preserve">   ZZZ_Monde</v>
      </c>
      <c r="C1485">
        <v>124632120</v>
      </c>
      <c r="D1485">
        <v>62800</v>
      </c>
    </row>
    <row r="1486" spans="1:4" x14ac:dyDescent="0.25">
      <c r="A1486" t="str">
        <f>T("   FR")</f>
        <v xml:space="preserve">   FR</v>
      </c>
      <c r="B1486" t="str">
        <f>T("   France")</f>
        <v xml:space="preserve">   France</v>
      </c>
      <c r="C1486">
        <v>13050601</v>
      </c>
      <c r="D1486">
        <v>2800</v>
      </c>
    </row>
    <row r="1487" spans="1:4" x14ac:dyDescent="0.25">
      <c r="A1487" t="str">
        <f>T("   JP")</f>
        <v xml:space="preserve">   JP</v>
      </c>
      <c r="B1487" t="str">
        <f>T("   Japon")</f>
        <v xml:space="preserve">   Japon</v>
      </c>
      <c r="C1487">
        <v>96581519</v>
      </c>
      <c r="D1487">
        <v>6000</v>
      </c>
    </row>
    <row r="1488" spans="1:4" x14ac:dyDescent="0.25">
      <c r="A1488" t="str">
        <f>T("   NG")</f>
        <v xml:space="preserve">   NG</v>
      </c>
      <c r="B1488" t="str">
        <f>T("   Nigéria")</f>
        <v xml:space="preserve">   Nigéria</v>
      </c>
      <c r="C1488">
        <v>15000000</v>
      </c>
      <c r="D1488">
        <v>54000</v>
      </c>
    </row>
    <row r="1489" spans="1:4" x14ac:dyDescent="0.25">
      <c r="A1489" t="str">
        <f>T("850220")</f>
        <v>850220</v>
      </c>
      <c r="B1489" t="s">
        <v>18</v>
      </c>
    </row>
    <row r="1490" spans="1:4" x14ac:dyDescent="0.25">
      <c r="A1490" t="str">
        <f>T("   ZZZ_Monde")</f>
        <v xml:space="preserve">   ZZZ_Monde</v>
      </c>
      <c r="B1490" t="str">
        <f>T("   ZZZ_Monde")</f>
        <v xml:space="preserve">   ZZZ_Monde</v>
      </c>
      <c r="C1490">
        <v>22277306</v>
      </c>
      <c r="D1490">
        <v>15400</v>
      </c>
    </row>
    <row r="1491" spans="1:4" x14ac:dyDescent="0.25">
      <c r="A1491" t="str">
        <f>T("   CI")</f>
        <v xml:space="preserve">   CI</v>
      </c>
      <c r="B1491" t="str">
        <f>T("   Côte d'Ivoire")</f>
        <v xml:space="preserve">   Côte d'Ivoire</v>
      </c>
      <c r="C1491">
        <v>532856</v>
      </c>
      <c r="D1491">
        <v>400</v>
      </c>
    </row>
    <row r="1492" spans="1:4" x14ac:dyDescent="0.25">
      <c r="A1492" t="str">
        <f>T("   NG")</f>
        <v xml:space="preserve">   NG</v>
      </c>
      <c r="B1492" t="str">
        <f>T("   Nigéria")</f>
        <v xml:space="preserve">   Nigéria</v>
      </c>
      <c r="C1492">
        <v>21744450</v>
      </c>
      <c r="D1492">
        <v>15000</v>
      </c>
    </row>
    <row r="1493" spans="1:4" x14ac:dyDescent="0.25">
      <c r="A1493" t="str">
        <f>T("850239")</f>
        <v>850239</v>
      </c>
      <c r="B1493" t="str">
        <f>T("Groupes électrogènes (autres qu'à énergie éolienne et à moteurs à piston)")</f>
        <v>Groupes électrogènes (autres qu'à énergie éolienne et à moteurs à piston)</v>
      </c>
    </row>
    <row r="1494" spans="1:4" x14ac:dyDescent="0.25">
      <c r="A1494" t="str">
        <f>T("   ZZZ_Monde")</f>
        <v xml:space="preserve">   ZZZ_Monde</v>
      </c>
      <c r="B1494" t="str">
        <f>T("   ZZZ_Monde")</f>
        <v xml:space="preserve">   ZZZ_Monde</v>
      </c>
      <c r="C1494">
        <v>800000</v>
      </c>
      <c r="D1494">
        <v>1000</v>
      </c>
    </row>
    <row r="1495" spans="1:4" x14ac:dyDescent="0.25">
      <c r="A1495" t="str">
        <f>T("   GQ")</f>
        <v xml:space="preserve">   GQ</v>
      </c>
      <c r="B1495" t="str">
        <f>T("   Guinée Equatoriale")</f>
        <v xml:space="preserve">   Guinée Equatoriale</v>
      </c>
      <c r="C1495">
        <v>800000</v>
      </c>
      <c r="D1495">
        <v>1000</v>
      </c>
    </row>
    <row r="1496" spans="1:4" x14ac:dyDescent="0.25">
      <c r="A1496" t="str">
        <f>T("850450")</f>
        <v>850450</v>
      </c>
      <c r="B1496" t="str">
        <f>T("Bobines de réactance et autres selfs (autres que pour lampes ou tubes à décharge)")</f>
        <v>Bobines de réactance et autres selfs (autres que pour lampes ou tubes à décharge)</v>
      </c>
    </row>
    <row r="1497" spans="1:4" x14ac:dyDescent="0.25">
      <c r="A1497" t="str">
        <f>T("   ZZZ_Monde")</f>
        <v xml:space="preserve">   ZZZ_Monde</v>
      </c>
      <c r="B1497" t="str">
        <f>T("   ZZZ_Monde")</f>
        <v xml:space="preserve">   ZZZ_Monde</v>
      </c>
      <c r="C1497">
        <v>1308000</v>
      </c>
      <c r="D1497">
        <v>190</v>
      </c>
    </row>
    <row r="1498" spans="1:4" x14ac:dyDescent="0.25">
      <c r="A1498" t="str">
        <f>T("   GU")</f>
        <v xml:space="preserve">   GU</v>
      </c>
      <c r="B1498" t="str">
        <f>T("   Guam")</f>
        <v xml:space="preserve">   Guam</v>
      </c>
      <c r="C1498">
        <v>1308000</v>
      </c>
      <c r="D1498">
        <v>190</v>
      </c>
    </row>
    <row r="1499" spans="1:4" x14ac:dyDescent="0.25">
      <c r="A1499" t="str">
        <f>T("850610")</f>
        <v>850610</v>
      </c>
      <c r="B1499" t="str">
        <f>T("Piles et batteries de piles électriques, au bioxyde de manganèse (sauf hors d'usage)")</f>
        <v>Piles et batteries de piles électriques, au bioxyde de manganèse (sauf hors d'usage)</v>
      </c>
    </row>
    <row r="1500" spans="1:4" x14ac:dyDescent="0.25">
      <c r="A1500" t="str">
        <f>T("   ZZZ_Monde")</f>
        <v xml:space="preserve">   ZZZ_Monde</v>
      </c>
      <c r="B1500" t="str">
        <f>T("   ZZZ_Monde")</f>
        <v xml:space="preserve">   ZZZ_Monde</v>
      </c>
      <c r="C1500">
        <v>3891000</v>
      </c>
      <c r="D1500">
        <v>2000</v>
      </c>
    </row>
    <row r="1501" spans="1:4" x14ac:dyDescent="0.25">
      <c r="A1501" t="str">
        <f>T("   SG")</f>
        <v xml:space="preserve">   SG</v>
      </c>
      <c r="B1501" t="str">
        <f>T("   Singapour")</f>
        <v xml:space="preserve">   Singapour</v>
      </c>
      <c r="C1501">
        <v>3891000</v>
      </c>
      <c r="D1501">
        <v>2000</v>
      </c>
    </row>
    <row r="1502" spans="1:4" x14ac:dyDescent="0.25">
      <c r="A1502" t="str">
        <f>T("850690")</f>
        <v>850690</v>
      </c>
      <c r="B1502" t="str">
        <f>T("Parties de piles et batteries de piles électriques n.d.a.")</f>
        <v>Parties de piles et batteries de piles électriques n.d.a.</v>
      </c>
    </row>
    <row r="1503" spans="1:4" x14ac:dyDescent="0.25">
      <c r="A1503" t="str">
        <f>T("   ZZZ_Monde")</f>
        <v xml:space="preserve">   ZZZ_Monde</v>
      </c>
      <c r="B1503" t="str">
        <f>T("   ZZZ_Monde")</f>
        <v xml:space="preserve">   ZZZ_Monde</v>
      </c>
      <c r="C1503">
        <v>2000000</v>
      </c>
      <c r="D1503">
        <v>100000</v>
      </c>
    </row>
    <row r="1504" spans="1:4" x14ac:dyDescent="0.25">
      <c r="A1504" t="str">
        <f>T("   GH")</f>
        <v xml:space="preserve">   GH</v>
      </c>
      <c r="B1504" t="str">
        <f>T("   Ghana")</f>
        <v xml:space="preserve">   Ghana</v>
      </c>
      <c r="C1504">
        <v>1000000</v>
      </c>
      <c r="D1504">
        <v>50000</v>
      </c>
    </row>
    <row r="1505" spans="1:4" x14ac:dyDescent="0.25">
      <c r="A1505" t="str">
        <f>T("   TG")</f>
        <v xml:space="preserve">   TG</v>
      </c>
      <c r="B1505" t="str">
        <f>T("   Togo")</f>
        <v xml:space="preserve">   Togo</v>
      </c>
      <c r="C1505">
        <v>1000000</v>
      </c>
      <c r="D1505">
        <v>50000</v>
      </c>
    </row>
    <row r="1506" spans="1:4" x14ac:dyDescent="0.25">
      <c r="A1506" t="str">
        <f>T("850710")</f>
        <v>850710</v>
      </c>
      <c r="B1506" t="str">
        <f>T("Accumulateurs au plomb, pour le démarrage des moteurs à piston (sauf hors d'usage)")</f>
        <v>Accumulateurs au plomb, pour le démarrage des moteurs à piston (sauf hors d'usage)</v>
      </c>
    </row>
    <row r="1507" spans="1:4" x14ac:dyDescent="0.25">
      <c r="A1507" t="str">
        <f>T("   ZZZ_Monde")</f>
        <v xml:space="preserve">   ZZZ_Monde</v>
      </c>
      <c r="B1507" t="str">
        <f>T("   ZZZ_Monde")</f>
        <v xml:space="preserve">   ZZZ_Monde</v>
      </c>
      <c r="C1507">
        <v>8000088</v>
      </c>
      <c r="D1507">
        <v>24485</v>
      </c>
    </row>
    <row r="1508" spans="1:4" x14ac:dyDescent="0.25">
      <c r="A1508" t="str">
        <f>T("   LK")</f>
        <v xml:space="preserve">   LK</v>
      </c>
      <c r="B1508" t="str">
        <f>T("   Sri Lanka")</f>
        <v xml:space="preserve">   Sri Lanka</v>
      </c>
      <c r="C1508">
        <v>8000088</v>
      </c>
      <c r="D1508">
        <v>24485</v>
      </c>
    </row>
    <row r="1509" spans="1:4" x14ac:dyDescent="0.25">
      <c r="A1509" t="str">
        <f>T("850720")</f>
        <v>850720</v>
      </c>
      <c r="B1509" t="str">
        <f>T("Accumulateurs au plomb (sauf hors d'usage et autres que pour le démarrage des moteurs à piston)")</f>
        <v>Accumulateurs au plomb (sauf hors d'usage et autres que pour le démarrage des moteurs à piston)</v>
      </c>
    </row>
    <row r="1510" spans="1:4" x14ac:dyDescent="0.25">
      <c r="A1510" t="str">
        <f>T("   ZZZ_Monde")</f>
        <v xml:space="preserve">   ZZZ_Monde</v>
      </c>
      <c r="B1510" t="str">
        <f>T("   ZZZ_Monde")</f>
        <v xml:space="preserve">   ZZZ_Monde</v>
      </c>
      <c r="C1510">
        <v>600000</v>
      </c>
      <c r="D1510">
        <v>3060</v>
      </c>
    </row>
    <row r="1511" spans="1:4" x14ac:dyDescent="0.25">
      <c r="A1511" t="str">
        <f>T("   NE")</f>
        <v xml:space="preserve">   NE</v>
      </c>
      <c r="B1511" t="str">
        <f>T("   Niger")</f>
        <v xml:space="preserve">   Niger</v>
      </c>
      <c r="C1511">
        <v>600000</v>
      </c>
      <c r="D1511">
        <v>3060</v>
      </c>
    </row>
    <row r="1512" spans="1:4" x14ac:dyDescent="0.25">
      <c r="A1512" t="str">
        <f>T("850780")</f>
        <v>850780</v>
      </c>
      <c r="B1512" t="str">
        <f>T("Accumulateurs électriques (sauf hors d'usage et autres qu'au plomb, au nickel-cadmium ou au nickel-fer)")</f>
        <v>Accumulateurs électriques (sauf hors d'usage et autres qu'au plomb, au nickel-cadmium ou au nickel-fer)</v>
      </c>
    </row>
    <row r="1513" spans="1:4" x14ac:dyDescent="0.25">
      <c r="A1513" t="str">
        <f>T("   ZZZ_Monde")</f>
        <v xml:space="preserve">   ZZZ_Monde</v>
      </c>
      <c r="B1513" t="str">
        <f>T("   ZZZ_Monde")</f>
        <v xml:space="preserve">   ZZZ_Monde</v>
      </c>
      <c r="C1513">
        <v>7985000</v>
      </c>
      <c r="D1513">
        <v>432060</v>
      </c>
    </row>
    <row r="1514" spans="1:4" x14ac:dyDescent="0.25">
      <c r="A1514" t="str">
        <f>T("   GH")</f>
        <v xml:space="preserve">   GH</v>
      </c>
      <c r="B1514" t="str">
        <f>T("   Ghana")</f>
        <v xml:space="preserve">   Ghana</v>
      </c>
      <c r="C1514">
        <v>7250000</v>
      </c>
      <c r="D1514">
        <v>431460</v>
      </c>
    </row>
    <row r="1515" spans="1:4" x14ac:dyDescent="0.25">
      <c r="A1515" t="str">
        <f>T("   NE")</f>
        <v xml:space="preserve">   NE</v>
      </c>
      <c r="B1515" t="str">
        <f>T("   Niger")</f>
        <v xml:space="preserve">   Niger</v>
      </c>
      <c r="C1515">
        <v>735000</v>
      </c>
      <c r="D1515">
        <v>600</v>
      </c>
    </row>
    <row r="1516" spans="1:4" x14ac:dyDescent="0.25">
      <c r="A1516" t="str">
        <f>T("851529")</f>
        <v>851529</v>
      </c>
      <c r="B1516" t="str">
        <f>T("MACHINES ET APPAREILS POUR LE SOUDAGE DES MÉTAUX PAR RÉSISTANCE, NON-AUTOMATIQUES")</f>
        <v>MACHINES ET APPAREILS POUR LE SOUDAGE DES MÉTAUX PAR RÉSISTANCE, NON-AUTOMATIQUES</v>
      </c>
    </row>
    <row r="1517" spans="1:4" x14ac:dyDescent="0.25">
      <c r="A1517" t="str">
        <f>T("   ZZZ_Monde")</f>
        <v xml:space="preserve">   ZZZ_Monde</v>
      </c>
      <c r="B1517" t="str">
        <f>T("   ZZZ_Monde")</f>
        <v xml:space="preserve">   ZZZ_Monde</v>
      </c>
      <c r="C1517">
        <v>1671530</v>
      </c>
      <c r="D1517">
        <v>1500</v>
      </c>
    </row>
    <row r="1518" spans="1:4" x14ac:dyDescent="0.25">
      <c r="A1518" t="str">
        <f>T("   JP")</f>
        <v xml:space="preserve">   JP</v>
      </c>
      <c r="B1518" t="str">
        <f>T("   Japon")</f>
        <v xml:space="preserve">   Japon</v>
      </c>
      <c r="C1518">
        <v>1671530</v>
      </c>
      <c r="D1518">
        <v>1500</v>
      </c>
    </row>
    <row r="1519" spans="1:4" x14ac:dyDescent="0.25">
      <c r="A1519" t="str">
        <f>T("852190")</f>
        <v>852190</v>
      </c>
      <c r="B1519" t="str">
        <f>T("APPAREILS D'ENREGISTREMENT OU DE REPRODUCTION VIDÉOPHONIQUES, INCORPORANT ÉGALEMENT UN RÉCEPTEUR DE SIGNAUX VIDÉOPHONIQUES (AUTRES QU'À BANDES MAGNÉTIQUES ET À L'EXCL. DES CAMÉSCOPES) [01/01/1988-31/12/1991: APPAREILS D'ENREGISTREMENT OU DE REPRODUCTION V")</f>
        <v>APPAREILS D'ENREGISTREMENT OU DE REPRODUCTION VIDÉOPHONIQUES, INCORPORANT ÉGALEMENT UN RÉCEPTEUR DE SIGNAUX VIDÉOPHONIQUES (AUTRES QU'À BANDES MAGNÉTIQUES ET À L'EXCL. DES CAMÉSCOPES) [01/01/1988-31/12/1991: APPAREILS D'ENREGISTREMENT OU DE REPRODUCTION V</v>
      </c>
    </row>
    <row r="1520" spans="1:4" x14ac:dyDescent="0.25">
      <c r="A1520" t="str">
        <f>T("   ZZZ_Monde")</f>
        <v xml:space="preserve">   ZZZ_Monde</v>
      </c>
      <c r="B1520" t="str">
        <f>T("   ZZZ_Monde")</f>
        <v xml:space="preserve">   ZZZ_Monde</v>
      </c>
      <c r="C1520">
        <v>22974619</v>
      </c>
      <c r="D1520">
        <v>4000</v>
      </c>
    </row>
    <row r="1521" spans="1:4" x14ac:dyDescent="0.25">
      <c r="A1521" t="str">
        <f>T("   HU")</f>
        <v xml:space="preserve">   HU</v>
      </c>
      <c r="B1521" t="str">
        <f>T("   Hongrie")</f>
        <v xml:space="preserve">   Hongrie</v>
      </c>
      <c r="C1521">
        <v>22974619</v>
      </c>
      <c r="D1521">
        <v>4000</v>
      </c>
    </row>
    <row r="1522" spans="1:4" x14ac:dyDescent="0.25">
      <c r="A1522" t="str">
        <f>T("852550")</f>
        <v>852550</v>
      </c>
      <c r="B1522" t="str">
        <f>T("APPAREILS D'ÉMISSION POUR LA RADIODIFFUSION OU LA TÉLÉVISION, SANS APPAREIL DE RÉCEPTION")</f>
        <v>APPAREILS D'ÉMISSION POUR LA RADIODIFFUSION OU LA TÉLÉVISION, SANS APPAREIL DE RÉCEPTION</v>
      </c>
    </row>
    <row r="1523" spans="1:4" x14ac:dyDescent="0.25">
      <c r="A1523" t="str">
        <f>T("   ZZZ_Monde")</f>
        <v xml:space="preserve">   ZZZ_Monde</v>
      </c>
      <c r="B1523" t="str">
        <f>T("   ZZZ_Monde")</f>
        <v xml:space="preserve">   ZZZ_Monde</v>
      </c>
      <c r="C1523">
        <v>4461000</v>
      </c>
      <c r="D1523">
        <v>856</v>
      </c>
    </row>
    <row r="1524" spans="1:4" x14ac:dyDescent="0.25">
      <c r="A1524" t="str">
        <f>T("   BF")</f>
        <v xml:space="preserve">   BF</v>
      </c>
      <c r="B1524" t="str">
        <f>T("   Burkina Faso")</f>
        <v xml:space="preserve">   Burkina Faso</v>
      </c>
      <c r="C1524">
        <v>4461000</v>
      </c>
      <c r="D1524">
        <v>856</v>
      </c>
    </row>
    <row r="1525" spans="1:4" x14ac:dyDescent="0.25">
      <c r="A1525" t="str">
        <f>T("852691")</f>
        <v>852691</v>
      </c>
      <c r="B1525" t="str">
        <f>T("Appareils de radionavigation")</f>
        <v>Appareils de radionavigation</v>
      </c>
    </row>
    <row r="1526" spans="1:4" x14ac:dyDescent="0.25">
      <c r="A1526" t="str">
        <f>T("   ZZZ_Monde")</f>
        <v xml:space="preserve">   ZZZ_Monde</v>
      </c>
      <c r="B1526" t="str">
        <f>T("   ZZZ_Monde")</f>
        <v xml:space="preserve">   ZZZ_Monde</v>
      </c>
      <c r="C1526">
        <v>327980</v>
      </c>
      <c r="D1526">
        <v>16</v>
      </c>
    </row>
    <row r="1527" spans="1:4" x14ac:dyDescent="0.25">
      <c r="A1527" t="str">
        <f>T("   DE")</f>
        <v xml:space="preserve">   DE</v>
      </c>
      <c r="B1527" t="str">
        <f>T("   Allemagne")</f>
        <v xml:space="preserve">   Allemagne</v>
      </c>
      <c r="C1527">
        <v>327980</v>
      </c>
      <c r="D1527">
        <v>16</v>
      </c>
    </row>
    <row r="1528" spans="1:4" x14ac:dyDescent="0.25">
      <c r="A1528" t="str">
        <f>T("852849")</f>
        <v>852849</v>
      </c>
      <c r="B1528" t="str">
        <f>T("MONITEURS À TUBE CATHODIQUE, N'INCORPORANT PAS D'APPAREIL DE RÉCEPTION DE TÉLÉVISION (À L'EXCL. DES TYPES EXCLUSIVEMENT OU PRINCIPALEMENT DESTINÉS À UNE MACHINE AUTOMATIQUE DE TRAITEMENT DE L'INFORMATION DU N° 8471)")</f>
        <v>MONITEURS À TUBE CATHODIQUE, N'INCORPORANT PAS D'APPAREIL DE RÉCEPTION DE TÉLÉVISION (À L'EXCL. DES TYPES EXCLUSIVEMENT OU PRINCIPALEMENT DESTINÉS À UNE MACHINE AUTOMATIQUE DE TRAITEMENT DE L'INFORMATION DU N° 8471)</v>
      </c>
    </row>
    <row r="1529" spans="1:4" x14ac:dyDescent="0.25">
      <c r="A1529" t="str">
        <f>T("   ZZZ_Monde")</f>
        <v xml:space="preserve">   ZZZ_Monde</v>
      </c>
      <c r="B1529" t="str">
        <f>T("   ZZZ_Monde")</f>
        <v xml:space="preserve">   ZZZ_Monde</v>
      </c>
      <c r="C1529">
        <v>2750000</v>
      </c>
      <c r="D1529">
        <v>330</v>
      </c>
    </row>
    <row r="1530" spans="1:4" x14ac:dyDescent="0.25">
      <c r="A1530" t="str">
        <f>T("   SG")</f>
        <v xml:space="preserve">   SG</v>
      </c>
      <c r="B1530" t="str">
        <f>T("   Singapour")</f>
        <v xml:space="preserve">   Singapour</v>
      </c>
      <c r="C1530">
        <v>2750000</v>
      </c>
      <c r="D1530">
        <v>330</v>
      </c>
    </row>
    <row r="1531" spans="1:4" x14ac:dyDescent="0.25">
      <c r="A1531" t="str">
        <f>T("852910")</f>
        <v>852910</v>
      </c>
      <c r="B1531" t="str">
        <f>T("Antennes et réflecteurs d'antennes de tous types; parties reconnaissables comme étant utilisées conjointement avec ces articles, n.d.a.")</f>
        <v>Antennes et réflecteurs d'antennes de tous types; parties reconnaissables comme étant utilisées conjointement avec ces articles, n.d.a.</v>
      </c>
    </row>
    <row r="1532" spans="1:4" x14ac:dyDescent="0.25">
      <c r="A1532" t="str">
        <f>T("   ZZZ_Monde")</f>
        <v xml:space="preserve">   ZZZ_Monde</v>
      </c>
      <c r="B1532" t="str">
        <f>T("   ZZZ_Monde")</f>
        <v xml:space="preserve">   ZZZ_Monde</v>
      </c>
      <c r="C1532">
        <v>5368382</v>
      </c>
      <c r="D1532">
        <v>30</v>
      </c>
    </row>
    <row r="1533" spans="1:4" x14ac:dyDescent="0.25">
      <c r="A1533" t="str">
        <f>T("   DE")</f>
        <v xml:space="preserve">   DE</v>
      </c>
      <c r="B1533" t="str">
        <f>T("   Allemagne")</f>
        <v xml:space="preserve">   Allemagne</v>
      </c>
      <c r="C1533">
        <v>4046899</v>
      </c>
      <c r="D1533">
        <v>12</v>
      </c>
    </row>
    <row r="1534" spans="1:4" x14ac:dyDescent="0.25">
      <c r="A1534" t="str">
        <f>T("   DK")</f>
        <v xml:space="preserve">   DK</v>
      </c>
      <c r="B1534" t="str">
        <f>T("   Danemark")</f>
        <v xml:space="preserve">   Danemark</v>
      </c>
      <c r="C1534">
        <v>1321483</v>
      </c>
      <c r="D1534">
        <v>18</v>
      </c>
    </row>
    <row r="1535" spans="1:4" x14ac:dyDescent="0.25">
      <c r="A1535" t="str">
        <f>T("852990")</f>
        <v>852990</v>
      </c>
      <c r="B1535" t="str">
        <f>T("PARTIES RECONNAISSABLES COMME ÉTANT EXCLUSIVEMENT OU PRINCIPALEMENT DESTINÉES AUX APPAREILS ÉMETTEURS-RÉCEPTEURS POUR LA RADIODIFFUSION OU LA TÉLÉVISION, AUX CAMÉRAS DE TÉLÉVISION, AUX APPAREILS PHOTOGRAPHIQUES NUMÉRIQUES, AUX CAMÉSCOPES ET AUX APPAREILS")</f>
        <v>PARTIES RECONNAISSABLES COMME ÉTANT EXCLUSIVEMENT OU PRINCIPALEMENT DESTINÉES AUX APPAREILS ÉMETTEURS-RÉCEPTEURS POUR LA RADIODIFFUSION OU LA TÉLÉVISION, AUX CAMÉRAS DE TÉLÉVISION, AUX APPAREILS PHOTOGRAPHIQUES NUMÉRIQUES, AUX CAMÉSCOPES ET AUX APPAREILS</v>
      </c>
    </row>
    <row r="1536" spans="1:4" x14ac:dyDescent="0.25">
      <c r="A1536" t="str">
        <f>T("   ZZZ_Monde")</f>
        <v xml:space="preserve">   ZZZ_Monde</v>
      </c>
      <c r="B1536" t="str">
        <f>T("   ZZZ_Monde")</f>
        <v xml:space="preserve">   ZZZ_Monde</v>
      </c>
      <c r="C1536">
        <v>29125200</v>
      </c>
      <c r="D1536">
        <v>15000</v>
      </c>
    </row>
    <row r="1537" spans="1:4" x14ac:dyDescent="0.25">
      <c r="A1537" t="str">
        <f>T("   NG")</f>
        <v xml:space="preserve">   NG</v>
      </c>
      <c r="B1537" t="str">
        <f>T("   Nigéria")</f>
        <v xml:space="preserve">   Nigéria</v>
      </c>
      <c r="C1537">
        <v>29125200</v>
      </c>
      <c r="D1537">
        <v>15000</v>
      </c>
    </row>
    <row r="1538" spans="1:4" x14ac:dyDescent="0.25">
      <c r="A1538" t="str">
        <f>T("853400")</f>
        <v>853400</v>
      </c>
      <c r="B1538" t="str">
        <f>T("Circuits imprimés")</f>
        <v>Circuits imprimés</v>
      </c>
    </row>
    <row r="1539" spans="1:4" x14ac:dyDescent="0.25">
      <c r="A1539" t="str">
        <f>T("   ZZZ_Monde")</f>
        <v xml:space="preserve">   ZZZ_Monde</v>
      </c>
      <c r="B1539" t="str">
        <f>T("   ZZZ_Monde")</f>
        <v xml:space="preserve">   ZZZ_Monde</v>
      </c>
      <c r="C1539">
        <v>266428</v>
      </c>
      <c r="D1539">
        <v>4</v>
      </c>
    </row>
    <row r="1540" spans="1:4" x14ac:dyDescent="0.25">
      <c r="A1540" t="str">
        <f>T("   DK")</f>
        <v xml:space="preserve">   DK</v>
      </c>
      <c r="B1540" t="str">
        <f>T("   Danemark")</f>
        <v xml:space="preserve">   Danemark</v>
      </c>
      <c r="C1540">
        <v>266428</v>
      </c>
      <c r="D1540">
        <v>4</v>
      </c>
    </row>
    <row r="1541" spans="1:4" x14ac:dyDescent="0.25">
      <c r="A1541" t="str">
        <f>T("853650")</f>
        <v>853650</v>
      </c>
      <c r="B1541" t="str">
        <f>T("Interrupteurs, sectionneurs et commutateurs, pour une tension &lt;= 1.000 V (autres que relais et disjoncteurs)")</f>
        <v>Interrupteurs, sectionneurs et commutateurs, pour une tension &lt;= 1.000 V (autres que relais et disjoncteurs)</v>
      </c>
    </row>
    <row r="1542" spans="1:4" x14ac:dyDescent="0.25">
      <c r="A1542" t="str">
        <f>T("   ZZZ_Monde")</f>
        <v xml:space="preserve">   ZZZ_Monde</v>
      </c>
      <c r="B1542" t="str">
        <f>T("   ZZZ_Monde")</f>
        <v xml:space="preserve">   ZZZ_Monde</v>
      </c>
      <c r="C1542">
        <v>655960</v>
      </c>
      <c r="D1542">
        <v>28</v>
      </c>
    </row>
    <row r="1543" spans="1:4" x14ac:dyDescent="0.25">
      <c r="A1543" t="str">
        <f>T("   MX")</f>
        <v xml:space="preserve">   MX</v>
      </c>
      <c r="B1543" t="str">
        <f>T("   Mexique")</f>
        <v xml:space="preserve">   Mexique</v>
      </c>
      <c r="C1543">
        <v>655960</v>
      </c>
      <c r="D1543">
        <v>28</v>
      </c>
    </row>
    <row r="1544" spans="1:4" x14ac:dyDescent="0.25">
      <c r="A1544" t="str">
        <f>T("853669")</f>
        <v>853669</v>
      </c>
      <c r="B1544" t="str">
        <f>T("Fiches et prises de courant, pour une tension &lt;= 1.000 V (sauf douilles pour lampes)")</f>
        <v>Fiches et prises de courant, pour une tension &lt;= 1.000 V (sauf douilles pour lampes)</v>
      </c>
    </row>
    <row r="1545" spans="1:4" x14ac:dyDescent="0.25">
      <c r="A1545" t="str">
        <f>T("   ZZZ_Monde")</f>
        <v xml:space="preserve">   ZZZ_Monde</v>
      </c>
      <c r="B1545" t="str">
        <f>T("   ZZZ_Monde")</f>
        <v xml:space="preserve">   ZZZ_Monde</v>
      </c>
      <c r="C1545">
        <v>5293490</v>
      </c>
      <c r="D1545">
        <v>2000</v>
      </c>
    </row>
    <row r="1546" spans="1:4" x14ac:dyDescent="0.25">
      <c r="A1546" t="str">
        <f>T("   JP")</f>
        <v xml:space="preserve">   JP</v>
      </c>
      <c r="B1546" t="str">
        <f>T("   Japon")</f>
        <v xml:space="preserve">   Japon</v>
      </c>
      <c r="C1546">
        <v>5293490</v>
      </c>
      <c r="D1546">
        <v>2000</v>
      </c>
    </row>
    <row r="1547" spans="1:4" x14ac:dyDescent="0.25">
      <c r="A1547" t="str">
        <f>T("854420")</f>
        <v>854420</v>
      </c>
      <c r="B1547" t="str">
        <f>T("Câbles coaxiaux et autres conducteurs électriques coaxiaux, isolés")</f>
        <v>Câbles coaxiaux et autres conducteurs électriques coaxiaux, isolés</v>
      </c>
    </row>
    <row r="1548" spans="1:4" x14ac:dyDescent="0.25">
      <c r="A1548" t="str">
        <f>T("   ZZZ_Monde")</f>
        <v xml:space="preserve">   ZZZ_Monde</v>
      </c>
      <c r="B1548" t="str">
        <f>T("   ZZZ_Monde")</f>
        <v xml:space="preserve">   ZZZ_Monde</v>
      </c>
      <c r="C1548">
        <v>600000</v>
      </c>
      <c r="D1548">
        <v>200</v>
      </c>
    </row>
    <row r="1549" spans="1:4" x14ac:dyDescent="0.25">
      <c r="A1549" t="str">
        <f>T("   GN")</f>
        <v xml:space="preserve">   GN</v>
      </c>
      <c r="B1549" t="str">
        <f>T("   Guinée")</f>
        <v xml:space="preserve">   Guinée</v>
      </c>
      <c r="C1549">
        <v>600000</v>
      </c>
      <c r="D1549">
        <v>200</v>
      </c>
    </row>
    <row r="1550" spans="1:4" x14ac:dyDescent="0.25">
      <c r="A1550" t="str">
        <f>T("854451")</f>
        <v>854451</v>
      </c>
      <c r="B1550" t="str">
        <f>T("Conducteurs électriques, pour tension &gt; 80 V mais &lt;= 1.000 V, avec pièces de connexion, n.d.a.")</f>
        <v>Conducteurs électriques, pour tension &gt; 80 V mais &lt;= 1.000 V, avec pièces de connexion, n.d.a.</v>
      </c>
    </row>
    <row r="1551" spans="1:4" x14ac:dyDescent="0.25">
      <c r="A1551" t="str">
        <f>T("   ZZZ_Monde")</f>
        <v xml:space="preserve">   ZZZ_Monde</v>
      </c>
      <c r="B1551" t="str">
        <f>T("   ZZZ_Monde")</f>
        <v xml:space="preserve">   ZZZ_Monde</v>
      </c>
      <c r="C1551">
        <v>406426</v>
      </c>
      <c r="D1551">
        <v>223</v>
      </c>
    </row>
    <row r="1552" spans="1:4" x14ac:dyDescent="0.25">
      <c r="A1552" t="str">
        <f>T("   CN")</f>
        <v xml:space="preserve">   CN</v>
      </c>
      <c r="B1552" t="str">
        <f>T("   Chine")</f>
        <v xml:space="preserve">   Chine</v>
      </c>
      <c r="C1552">
        <v>406426</v>
      </c>
      <c r="D1552">
        <v>223</v>
      </c>
    </row>
    <row r="1553" spans="1:4" x14ac:dyDescent="0.25">
      <c r="A1553" t="str">
        <f>T("854460")</f>
        <v>854460</v>
      </c>
      <c r="B1553" t="str">
        <f>T("Conducteurs électriques, pour tension &gt; 1.000 V, n.d.a.")</f>
        <v>Conducteurs électriques, pour tension &gt; 1.000 V, n.d.a.</v>
      </c>
    </row>
    <row r="1554" spans="1:4" x14ac:dyDescent="0.25">
      <c r="A1554" t="str">
        <f>T("   ZZZ_Monde")</f>
        <v xml:space="preserve">   ZZZ_Monde</v>
      </c>
      <c r="B1554" t="str">
        <f>T("   ZZZ_Monde")</f>
        <v xml:space="preserve">   ZZZ_Monde</v>
      </c>
      <c r="C1554">
        <v>4391799</v>
      </c>
      <c r="D1554">
        <v>1528</v>
      </c>
    </row>
    <row r="1555" spans="1:4" x14ac:dyDescent="0.25">
      <c r="A1555" t="str">
        <f>T("   DK")</f>
        <v xml:space="preserve">   DK</v>
      </c>
      <c r="B1555" t="str">
        <f>T("   Danemark")</f>
        <v xml:space="preserve">   Danemark</v>
      </c>
      <c r="C1555">
        <v>1605921</v>
      </c>
      <c r="D1555">
        <v>28</v>
      </c>
    </row>
    <row r="1556" spans="1:4" x14ac:dyDescent="0.25">
      <c r="A1556" t="str">
        <f>T("   JP")</f>
        <v xml:space="preserve">   JP</v>
      </c>
      <c r="B1556" t="str">
        <f>T("   Japon")</f>
        <v xml:space="preserve">   Japon</v>
      </c>
      <c r="C1556">
        <v>2785878</v>
      </c>
      <c r="D1556">
        <v>1500</v>
      </c>
    </row>
    <row r="1557" spans="1:4" x14ac:dyDescent="0.25">
      <c r="A1557" t="str">
        <f>T("854690")</f>
        <v>854690</v>
      </c>
      <c r="B1557" t="str">
        <f>T("Isolateurs pour usages électriques (sauf en verre ou en céramique et sauf pièces isolantes)")</f>
        <v>Isolateurs pour usages électriques (sauf en verre ou en céramique et sauf pièces isolantes)</v>
      </c>
    </row>
    <row r="1558" spans="1:4" x14ac:dyDescent="0.25">
      <c r="A1558" t="str">
        <f>T("   ZZZ_Monde")</f>
        <v xml:space="preserve">   ZZZ_Monde</v>
      </c>
      <c r="B1558" t="str">
        <f>T("   ZZZ_Monde")</f>
        <v xml:space="preserve">   ZZZ_Monde</v>
      </c>
      <c r="C1558">
        <v>6833818</v>
      </c>
      <c r="D1558">
        <v>1672</v>
      </c>
    </row>
    <row r="1559" spans="1:4" x14ac:dyDescent="0.25">
      <c r="A1559" t="str">
        <f>T("   MA")</f>
        <v xml:space="preserve">   MA</v>
      </c>
      <c r="B1559" t="str">
        <f>T("   Maroc")</f>
        <v xml:space="preserve">   Maroc</v>
      </c>
      <c r="C1559">
        <v>6833818</v>
      </c>
      <c r="D1559">
        <v>1672</v>
      </c>
    </row>
    <row r="1560" spans="1:4" x14ac:dyDescent="0.25">
      <c r="A1560" t="str">
        <f>T("854810")</f>
        <v>854810</v>
      </c>
      <c r="B1560" t="str">
        <f>T("Déchets et débris de piles, de batteries de piles et d'accumulateurs électriques; piles et batteries de piles électriques hors d'usage et accumulateurs électriques hors d'usage")</f>
        <v>Déchets et débris de piles, de batteries de piles et d'accumulateurs électriques; piles et batteries de piles électriques hors d'usage et accumulateurs électriques hors d'usage</v>
      </c>
    </row>
    <row r="1561" spans="1:4" x14ac:dyDescent="0.25">
      <c r="A1561" t="str">
        <f>T("   ZZZ_Monde")</f>
        <v xml:space="preserve">   ZZZ_Monde</v>
      </c>
      <c r="B1561" t="str">
        <f>T("   ZZZ_Monde")</f>
        <v xml:space="preserve">   ZZZ_Monde</v>
      </c>
      <c r="C1561">
        <v>500000</v>
      </c>
      <c r="D1561">
        <v>10000</v>
      </c>
    </row>
    <row r="1562" spans="1:4" x14ac:dyDescent="0.25">
      <c r="A1562" t="str">
        <f>T("   KR")</f>
        <v xml:space="preserve">   KR</v>
      </c>
      <c r="B1562" t="str">
        <f>T("   Corée, République de")</f>
        <v xml:space="preserve">   Corée, République de</v>
      </c>
      <c r="C1562">
        <v>500000</v>
      </c>
      <c r="D1562">
        <v>10000</v>
      </c>
    </row>
    <row r="1563" spans="1:4" x14ac:dyDescent="0.25">
      <c r="A1563" t="str">
        <f>T("854890")</f>
        <v>854890</v>
      </c>
      <c r="B1563" t="str">
        <f>T("PARTIES ÉLECTRIQUES DE MACHINES OU D'APPAREILS, N.D.A. DANS LE CHAPITRE 85")</f>
        <v>PARTIES ÉLECTRIQUES DE MACHINES OU D'APPAREILS, N.D.A. DANS LE CHAPITRE 85</v>
      </c>
    </row>
    <row r="1564" spans="1:4" x14ac:dyDescent="0.25">
      <c r="A1564" t="str">
        <f>T("   ZZZ_Monde")</f>
        <v xml:space="preserve">   ZZZ_Monde</v>
      </c>
      <c r="B1564" t="str">
        <f>T("   ZZZ_Monde")</f>
        <v xml:space="preserve">   ZZZ_Monde</v>
      </c>
      <c r="C1564">
        <v>398317</v>
      </c>
      <c r="D1564">
        <v>66400</v>
      </c>
    </row>
    <row r="1565" spans="1:4" x14ac:dyDescent="0.25">
      <c r="A1565" t="str">
        <f>T("   ZA")</f>
        <v xml:space="preserve">   ZA</v>
      </c>
      <c r="B1565" t="str">
        <f>T("   Afrique du Sud")</f>
        <v xml:space="preserve">   Afrique du Sud</v>
      </c>
      <c r="C1565">
        <v>398317</v>
      </c>
      <c r="D1565">
        <v>66400</v>
      </c>
    </row>
    <row r="1566" spans="1:4" x14ac:dyDescent="0.25">
      <c r="A1566" t="str">
        <f>T("860900")</f>
        <v>860900</v>
      </c>
      <c r="B1566" t="str">
        <f>T("CADRES ET CONTENEURS -Y.C. LES CONTENEURS-CITERNES ET LES CONTENEURS-RÉSERVOIRS- SPÉCIALEMENT CONÇUS ET ÉQUIPÉS POUR UN OU PLUSIEURS MODES DE TRANSPORT")</f>
        <v>CADRES ET CONTENEURS -Y.C. LES CONTENEURS-CITERNES ET LES CONTENEURS-RÉSERVOIRS- SPÉCIALEMENT CONÇUS ET ÉQUIPÉS POUR UN OU PLUSIEURS MODES DE TRANSPORT</v>
      </c>
    </row>
    <row r="1567" spans="1:4" x14ac:dyDescent="0.25">
      <c r="A1567" t="str">
        <f>T("   ZZZ_Monde")</f>
        <v xml:space="preserve">   ZZZ_Monde</v>
      </c>
      <c r="B1567" t="str">
        <f>T("   ZZZ_Monde")</f>
        <v xml:space="preserve">   ZZZ_Monde</v>
      </c>
      <c r="C1567">
        <v>6394272</v>
      </c>
      <c r="D1567">
        <v>7839</v>
      </c>
    </row>
    <row r="1568" spans="1:4" x14ac:dyDescent="0.25">
      <c r="A1568" t="str">
        <f>T("   GH")</f>
        <v xml:space="preserve">   GH</v>
      </c>
      <c r="B1568" t="str">
        <f>T("   Ghana")</f>
        <v xml:space="preserve">   Ghana</v>
      </c>
      <c r="C1568">
        <v>6394272</v>
      </c>
      <c r="D1568">
        <v>7839</v>
      </c>
    </row>
    <row r="1569" spans="1:4" x14ac:dyDescent="0.25">
      <c r="A1569" t="str">
        <f>T("870120")</f>
        <v>870120</v>
      </c>
      <c r="B1569" t="str">
        <f>T("Tracteurs routiers pour semi-remorques")</f>
        <v>Tracteurs routiers pour semi-remorques</v>
      </c>
    </row>
    <row r="1570" spans="1:4" x14ac:dyDescent="0.25">
      <c r="A1570" t="str">
        <f>T("   ZZZ_Monde")</f>
        <v xml:space="preserve">   ZZZ_Monde</v>
      </c>
      <c r="B1570" t="str">
        <f>T("   ZZZ_Monde")</f>
        <v xml:space="preserve">   ZZZ_Monde</v>
      </c>
      <c r="C1570">
        <v>13672698</v>
      </c>
      <c r="D1570">
        <v>13495</v>
      </c>
    </row>
    <row r="1571" spans="1:4" x14ac:dyDescent="0.25">
      <c r="A1571" t="str">
        <f>T("   BF")</f>
        <v xml:space="preserve">   BF</v>
      </c>
      <c r="B1571" t="str">
        <f>T("   Burkina Faso")</f>
        <v xml:space="preserve">   Burkina Faso</v>
      </c>
      <c r="C1571">
        <v>11672698</v>
      </c>
      <c r="D1571">
        <v>6000</v>
      </c>
    </row>
    <row r="1572" spans="1:4" x14ac:dyDescent="0.25">
      <c r="A1572" t="str">
        <f>T("   GQ")</f>
        <v xml:space="preserve">   GQ</v>
      </c>
      <c r="B1572" t="str">
        <f>T("   Guinée Equatoriale")</f>
        <v xml:space="preserve">   Guinée Equatoriale</v>
      </c>
      <c r="C1572">
        <v>2000000</v>
      </c>
      <c r="D1572">
        <v>7495</v>
      </c>
    </row>
    <row r="1573" spans="1:4" x14ac:dyDescent="0.25">
      <c r="A1573" t="str">
        <f>T("870190")</f>
        <v>870190</v>
      </c>
      <c r="B1573" t="str">
        <f>T("Tracteurs (à l'excl. des chariots-tracteurs du n° 8709, ainsi que des motoculteurs, tracteurs routiers pour semi-remorques et tracteurs à chenilles)")</f>
        <v>Tracteurs (à l'excl. des chariots-tracteurs du n° 8709, ainsi que des motoculteurs, tracteurs routiers pour semi-remorques et tracteurs à chenilles)</v>
      </c>
    </row>
    <row r="1574" spans="1:4" x14ac:dyDescent="0.25">
      <c r="A1574" t="str">
        <f>T("   ZZZ_Monde")</f>
        <v xml:space="preserve">   ZZZ_Monde</v>
      </c>
      <c r="B1574" t="str">
        <f>T("   ZZZ_Monde")</f>
        <v xml:space="preserve">   ZZZ_Monde</v>
      </c>
      <c r="C1574">
        <v>95181391</v>
      </c>
      <c r="D1574">
        <v>217572</v>
      </c>
    </row>
    <row r="1575" spans="1:4" x14ac:dyDescent="0.25">
      <c r="A1575" t="str">
        <f>T("   BE")</f>
        <v xml:space="preserve">   BE</v>
      </c>
      <c r="B1575" t="str">
        <f>T("   Belgique")</f>
        <v xml:space="preserve">   Belgique</v>
      </c>
      <c r="C1575">
        <v>60000000</v>
      </c>
      <c r="D1575">
        <v>203100</v>
      </c>
    </row>
    <row r="1576" spans="1:4" x14ac:dyDescent="0.25">
      <c r="A1576" t="str">
        <f>T("   TG")</f>
        <v xml:space="preserve">   TG</v>
      </c>
      <c r="B1576" t="str">
        <f>T("   Togo")</f>
        <v xml:space="preserve">   Togo</v>
      </c>
      <c r="C1576">
        <v>35181391</v>
      </c>
      <c r="D1576">
        <v>14472</v>
      </c>
    </row>
    <row r="1577" spans="1:4" x14ac:dyDescent="0.25">
      <c r="A1577" t="str">
        <f>T("870290")</f>
        <v>870290</v>
      </c>
      <c r="B1577" t="s">
        <v>19</v>
      </c>
    </row>
    <row r="1578" spans="1:4" x14ac:dyDescent="0.25">
      <c r="A1578" t="str">
        <f>T("   ZZZ_Monde")</f>
        <v xml:space="preserve">   ZZZ_Monde</v>
      </c>
      <c r="B1578" t="str">
        <f>T("   ZZZ_Monde")</f>
        <v xml:space="preserve">   ZZZ_Monde</v>
      </c>
      <c r="C1578">
        <v>10400000</v>
      </c>
      <c r="D1578">
        <v>13195</v>
      </c>
    </row>
    <row r="1579" spans="1:4" x14ac:dyDescent="0.25">
      <c r="A1579" t="str">
        <f>T("   CM")</f>
        <v xml:space="preserve">   CM</v>
      </c>
      <c r="B1579" t="str">
        <f>T("   Cameroun")</f>
        <v xml:space="preserve">   Cameroun</v>
      </c>
      <c r="C1579">
        <v>4000000</v>
      </c>
      <c r="D1579">
        <v>6200</v>
      </c>
    </row>
    <row r="1580" spans="1:4" x14ac:dyDescent="0.25">
      <c r="A1580" t="str">
        <f>T("   GN")</f>
        <v xml:space="preserve">   GN</v>
      </c>
      <c r="B1580" t="str">
        <f>T("   Guinée")</f>
        <v xml:space="preserve">   Guinée</v>
      </c>
      <c r="C1580">
        <v>3000000</v>
      </c>
      <c r="D1580">
        <v>3095</v>
      </c>
    </row>
    <row r="1581" spans="1:4" x14ac:dyDescent="0.25">
      <c r="A1581" t="str">
        <f>T("   GQ")</f>
        <v xml:space="preserve">   GQ</v>
      </c>
      <c r="B1581" t="str">
        <f>T("   Guinée Equatoriale")</f>
        <v xml:space="preserve">   Guinée Equatoriale</v>
      </c>
      <c r="C1581">
        <v>3400000</v>
      </c>
      <c r="D1581">
        <v>3900</v>
      </c>
    </row>
    <row r="1582" spans="1:4" x14ac:dyDescent="0.25">
      <c r="A1582" t="str">
        <f>T("870322")</f>
        <v>870322</v>
      </c>
      <c r="B1582" t="s">
        <v>20</v>
      </c>
    </row>
    <row r="1583" spans="1:4" x14ac:dyDescent="0.25">
      <c r="A1583" t="str">
        <f>T("   ZZZ_Monde")</f>
        <v xml:space="preserve">   ZZZ_Monde</v>
      </c>
      <c r="B1583" t="str">
        <f>T("   ZZZ_Monde")</f>
        <v xml:space="preserve">   ZZZ_Monde</v>
      </c>
      <c r="C1583">
        <v>100469651</v>
      </c>
      <c r="D1583">
        <v>87125</v>
      </c>
    </row>
    <row r="1584" spans="1:4" x14ac:dyDescent="0.25">
      <c r="A1584" t="str">
        <f>T("   AE")</f>
        <v xml:space="preserve">   AE</v>
      </c>
      <c r="B1584" t="str">
        <f>T("   Emirats Arabes Unis")</f>
        <v xml:space="preserve">   Emirats Arabes Unis</v>
      </c>
      <c r="C1584">
        <v>3000000</v>
      </c>
      <c r="D1584">
        <v>5489</v>
      </c>
    </row>
    <row r="1585" spans="1:4" x14ac:dyDescent="0.25">
      <c r="A1585" t="str">
        <f>T("   BE")</f>
        <v xml:space="preserve">   BE</v>
      </c>
      <c r="B1585" t="str">
        <f>T("   Belgique")</f>
        <v xml:space="preserve">   Belgique</v>
      </c>
      <c r="C1585">
        <v>4900000</v>
      </c>
      <c r="D1585">
        <v>1800</v>
      </c>
    </row>
    <row r="1586" spans="1:4" x14ac:dyDescent="0.25">
      <c r="A1586" t="str">
        <f>T("   BI")</f>
        <v xml:space="preserve">   BI</v>
      </c>
      <c r="B1586" t="str">
        <f>T("   Burundi")</f>
        <v xml:space="preserve">   Burundi</v>
      </c>
      <c r="C1586">
        <v>2489480</v>
      </c>
      <c r="D1586">
        <v>1730</v>
      </c>
    </row>
    <row r="1587" spans="1:4" x14ac:dyDescent="0.25">
      <c r="A1587" t="str">
        <f>T("   CD")</f>
        <v xml:space="preserve">   CD</v>
      </c>
      <c r="B1587" t="str">
        <f>T("   Congo, République Démocratique")</f>
        <v xml:space="preserve">   Congo, République Démocratique</v>
      </c>
      <c r="C1587">
        <v>2050000</v>
      </c>
      <c r="D1587">
        <v>4230</v>
      </c>
    </row>
    <row r="1588" spans="1:4" x14ac:dyDescent="0.25">
      <c r="A1588" t="str">
        <f>T("   CG")</f>
        <v xml:space="preserve">   CG</v>
      </c>
      <c r="B1588" t="str">
        <f>T("   Congo (Brazzaville)")</f>
        <v xml:space="preserve">   Congo (Brazzaville)</v>
      </c>
      <c r="C1588">
        <v>10842760</v>
      </c>
      <c r="D1588">
        <v>8055</v>
      </c>
    </row>
    <row r="1589" spans="1:4" x14ac:dyDescent="0.25">
      <c r="A1589" t="str">
        <f>T("   CI")</f>
        <v xml:space="preserve">   CI</v>
      </c>
      <c r="B1589" t="str">
        <f>T("   Côte d'Ivoire")</f>
        <v xml:space="preserve">   Côte d'Ivoire</v>
      </c>
      <c r="C1589">
        <v>1866432</v>
      </c>
      <c r="D1589">
        <v>1590</v>
      </c>
    </row>
    <row r="1590" spans="1:4" x14ac:dyDescent="0.25">
      <c r="A1590" t="str">
        <f>T("   CM")</f>
        <v xml:space="preserve">   CM</v>
      </c>
      <c r="B1590" t="str">
        <f>T("   Cameroun")</f>
        <v xml:space="preserve">   Cameroun</v>
      </c>
      <c r="C1590">
        <v>3000000</v>
      </c>
      <c r="D1590">
        <v>3500</v>
      </c>
    </row>
    <row r="1591" spans="1:4" x14ac:dyDescent="0.25">
      <c r="A1591" t="str">
        <f>T("   DE")</f>
        <v xml:space="preserve">   DE</v>
      </c>
      <c r="B1591" t="str">
        <f>T("   Allemagne")</f>
        <v xml:space="preserve">   Allemagne</v>
      </c>
      <c r="C1591">
        <v>1300000</v>
      </c>
      <c r="D1591">
        <v>1600</v>
      </c>
    </row>
    <row r="1592" spans="1:4" x14ac:dyDescent="0.25">
      <c r="A1592" t="str">
        <f>T("   FR")</f>
        <v xml:space="preserve">   FR</v>
      </c>
      <c r="B1592" t="str">
        <f>T("   France")</f>
        <v xml:space="preserve">   France</v>
      </c>
      <c r="C1592">
        <v>16067915</v>
      </c>
      <c r="D1592">
        <v>13414</v>
      </c>
    </row>
    <row r="1593" spans="1:4" x14ac:dyDescent="0.25">
      <c r="A1593" t="str">
        <f>T("   GA")</f>
        <v xml:space="preserve">   GA</v>
      </c>
      <c r="B1593" t="str">
        <f>T("   Gabon")</f>
        <v xml:space="preserve">   Gabon</v>
      </c>
      <c r="C1593">
        <v>19986885</v>
      </c>
      <c r="D1593">
        <v>26795</v>
      </c>
    </row>
    <row r="1594" spans="1:4" x14ac:dyDescent="0.25">
      <c r="A1594" t="str">
        <f>T("   GN")</f>
        <v xml:space="preserve">   GN</v>
      </c>
      <c r="B1594" t="str">
        <f>T("   Guinée")</f>
        <v xml:space="preserve">   Guinée</v>
      </c>
      <c r="C1594">
        <v>5200000</v>
      </c>
      <c r="D1594">
        <v>5723</v>
      </c>
    </row>
    <row r="1595" spans="1:4" x14ac:dyDescent="0.25">
      <c r="A1595" t="str">
        <f>T("   GQ")</f>
        <v xml:space="preserve">   GQ</v>
      </c>
      <c r="B1595" t="str">
        <f>T("   Guinée Equatoriale")</f>
        <v xml:space="preserve">   Guinée Equatoriale</v>
      </c>
      <c r="C1595">
        <v>1200000</v>
      </c>
      <c r="D1595">
        <v>950</v>
      </c>
    </row>
    <row r="1596" spans="1:4" x14ac:dyDescent="0.25">
      <c r="A1596" t="str">
        <f>T("   KH")</f>
        <v xml:space="preserve">   KH</v>
      </c>
      <c r="B1596" t="str">
        <f>T("   Cambodge")</f>
        <v xml:space="preserve">   Cambodge</v>
      </c>
      <c r="C1596">
        <v>1506966</v>
      </c>
      <c r="D1596">
        <v>1345</v>
      </c>
    </row>
    <row r="1597" spans="1:4" x14ac:dyDescent="0.25">
      <c r="A1597" t="str">
        <f>T("   LB")</f>
        <v xml:space="preserve">   LB</v>
      </c>
      <c r="B1597" t="str">
        <f>T("   Liban")</f>
        <v xml:space="preserve">   Liban</v>
      </c>
      <c r="C1597">
        <v>1000000</v>
      </c>
      <c r="D1597">
        <v>1000</v>
      </c>
    </row>
    <row r="1598" spans="1:4" x14ac:dyDescent="0.25">
      <c r="A1598" t="str">
        <f>T("   NE")</f>
        <v xml:space="preserve">   NE</v>
      </c>
      <c r="B1598" t="str">
        <f>T("   Niger")</f>
        <v xml:space="preserve">   Niger</v>
      </c>
      <c r="C1598">
        <v>1200000</v>
      </c>
      <c r="D1598">
        <v>1000</v>
      </c>
    </row>
    <row r="1599" spans="1:4" x14ac:dyDescent="0.25">
      <c r="A1599" t="str">
        <f>T("   NG")</f>
        <v xml:space="preserve">   NG</v>
      </c>
      <c r="B1599" t="str">
        <f>T("   Nigéria")</f>
        <v xml:space="preserve">   Nigéria</v>
      </c>
      <c r="C1599">
        <v>5705488</v>
      </c>
      <c r="D1599">
        <v>2830</v>
      </c>
    </row>
    <row r="1600" spans="1:4" x14ac:dyDescent="0.25">
      <c r="A1600" t="str">
        <f>T("   SN")</f>
        <v xml:space="preserve">   SN</v>
      </c>
      <c r="B1600" t="str">
        <f>T("   Sénégal")</f>
        <v xml:space="preserve">   Sénégal</v>
      </c>
      <c r="C1600">
        <v>12217380</v>
      </c>
      <c r="D1600">
        <v>3200</v>
      </c>
    </row>
    <row r="1601" spans="1:4" x14ac:dyDescent="0.25">
      <c r="A1601" t="str">
        <f>T("   US")</f>
        <v xml:space="preserve">   US</v>
      </c>
      <c r="B1601" t="str">
        <f>T("   Etats-Unis")</f>
        <v xml:space="preserve">   Etats-Unis</v>
      </c>
      <c r="C1601">
        <v>6936345</v>
      </c>
      <c r="D1601">
        <v>2874</v>
      </c>
    </row>
    <row r="1602" spans="1:4" x14ac:dyDescent="0.25">
      <c r="A1602" t="str">
        <f>T("870323")</f>
        <v>870323</v>
      </c>
      <c r="B1602" t="s">
        <v>21</v>
      </c>
    </row>
    <row r="1603" spans="1:4" x14ac:dyDescent="0.25">
      <c r="A1603" t="str">
        <f>T("   ZZZ_Monde")</f>
        <v xml:space="preserve">   ZZZ_Monde</v>
      </c>
      <c r="B1603" t="str">
        <f>T("   ZZZ_Monde")</f>
        <v xml:space="preserve">   ZZZ_Monde</v>
      </c>
      <c r="C1603">
        <v>233471305</v>
      </c>
      <c r="D1603">
        <v>75571</v>
      </c>
    </row>
    <row r="1604" spans="1:4" x14ac:dyDescent="0.25">
      <c r="A1604" t="str">
        <f>T("   BE")</f>
        <v xml:space="preserve">   BE</v>
      </c>
      <c r="B1604" t="str">
        <f>T("   Belgique")</f>
        <v xml:space="preserve">   Belgique</v>
      </c>
      <c r="C1604">
        <v>2400000</v>
      </c>
      <c r="D1604">
        <v>2870</v>
      </c>
    </row>
    <row r="1605" spans="1:4" x14ac:dyDescent="0.25">
      <c r="A1605" t="str">
        <f>T("   BI")</f>
        <v xml:space="preserve">   BI</v>
      </c>
      <c r="B1605" t="str">
        <f>T("   Burundi")</f>
        <v xml:space="preserve">   Burundi</v>
      </c>
      <c r="C1605">
        <v>1000000</v>
      </c>
      <c r="D1605">
        <v>1930</v>
      </c>
    </row>
    <row r="1606" spans="1:4" x14ac:dyDescent="0.25">
      <c r="A1606" t="str">
        <f>T("   CG")</f>
        <v xml:space="preserve">   CG</v>
      </c>
      <c r="B1606" t="str">
        <f>T("   Congo (Brazzaville)")</f>
        <v xml:space="preserve">   Congo (Brazzaville)</v>
      </c>
      <c r="C1606">
        <v>11340000</v>
      </c>
      <c r="D1606">
        <v>8360</v>
      </c>
    </row>
    <row r="1607" spans="1:4" x14ac:dyDescent="0.25">
      <c r="A1607" t="str">
        <f>T("   CM")</f>
        <v xml:space="preserve">   CM</v>
      </c>
      <c r="B1607" t="str">
        <f>T("   Cameroun")</f>
        <v xml:space="preserve">   Cameroun</v>
      </c>
      <c r="C1607">
        <v>37834540</v>
      </c>
      <c r="D1607">
        <v>11360</v>
      </c>
    </row>
    <row r="1608" spans="1:4" x14ac:dyDescent="0.25">
      <c r="A1608" t="str">
        <f>T("   FR")</f>
        <v xml:space="preserve">   FR</v>
      </c>
      <c r="B1608" t="str">
        <f>T("   France")</f>
        <v xml:space="preserve">   France</v>
      </c>
      <c r="C1608">
        <v>2000000</v>
      </c>
      <c r="D1608">
        <v>3040</v>
      </c>
    </row>
    <row r="1609" spans="1:4" x14ac:dyDescent="0.25">
      <c r="A1609" t="str">
        <f>T("   GA")</f>
        <v xml:space="preserve">   GA</v>
      </c>
      <c r="B1609" t="str">
        <f>T("   Gabon")</f>
        <v xml:space="preserve">   Gabon</v>
      </c>
      <c r="C1609">
        <v>35024740</v>
      </c>
      <c r="D1609">
        <v>6340</v>
      </c>
    </row>
    <row r="1610" spans="1:4" x14ac:dyDescent="0.25">
      <c r="A1610" t="str">
        <f>T("   GH")</f>
        <v xml:space="preserve">   GH</v>
      </c>
      <c r="B1610" t="str">
        <f>T("   Ghana")</f>
        <v xml:space="preserve">   Ghana</v>
      </c>
      <c r="C1610">
        <v>11025000</v>
      </c>
      <c r="D1610">
        <v>2500</v>
      </c>
    </row>
    <row r="1611" spans="1:4" x14ac:dyDescent="0.25">
      <c r="A1611" t="str">
        <f>T("   GN")</f>
        <v xml:space="preserve">   GN</v>
      </c>
      <c r="B1611" t="str">
        <f>T("   Guinée")</f>
        <v xml:space="preserve">   Guinée</v>
      </c>
      <c r="C1611">
        <v>1000000</v>
      </c>
      <c r="D1611">
        <v>950</v>
      </c>
    </row>
    <row r="1612" spans="1:4" x14ac:dyDescent="0.25">
      <c r="A1612" t="str">
        <f>T("   GQ")</f>
        <v xml:space="preserve">   GQ</v>
      </c>
      <c r="B1612" t="str">
        <f>T("   Guinée Equatoriale")</f>
        <v xml:space="preserve">   Guinée Equatoriale</v>
      </c>
      <c r="C1612">
        <v>17496987</v>
      </c>
      <c r="D1612">
        <v>5225</v>
      </c>
    </row>
    <row r="1613" spans="1:4" x14ac:dyDescent="0.25">
      <c r="A1613" t="str">
        <f>T("   KE")</f>
        <v xml:space="preserve">   KE</v>
      </c>
      <c r="B1613" t="str">
        <f>T("   Kenya")</f>
        <v xml:space="preserve">   Kenya</v>
      </c>
      <c r="C1613">
        <v>16699000</v>
      </c>
      <c r="D1613">
        <v>1850</v>
      </c>
    </row>
    <row r="1614" spans="1:4" x14ac:dyDescent="0.25">
      <c r="A1614" t="str">
        <f>T("   LB")</f>
        <v xml:space="preserve">   LB</v>
      </c>
      <c r="B1614" t="str">
        <f>T("   Liban")</f>
        <v xml:space="preserve">   Liban</v>
      </c>
      <c r="C1614">
        <v>2400000</v>
      </c>
      <c r="D1614">
        <v>2650</v>
      </c>
    </row>
    <row r="1615" spans="1:4" x14ac:dyDescent="0.25">
      <c r="A1615" t="str">
        <f>T("   NE")</f>
        <v xml:space="preserve">   NE</v>
      </c>
      <c r="B1615" t="str">
        <f>T("   Niger")</f>
        <v xml:space="preserve">   Niger</v>
      </c>
      <c r="C1615">
        <v>5511983</v>
      </c>
      <c r="D1615">
        <v>2967</v>
      </c>
    </row>
    <row r="1616" spans="1:4" x14ac:dyDescent="0.25">
      <c r="A1616" t="str">
        <f>T("   NG")</f>
        <v xml:space="preserve">   NG</v>
      </c>
      <c r="B1616" t="str">
        <f>T("   Nigéria")</f>
        <v xml:space="preserve">   Nigéria</v>
      </c>
      <c r="C1616">
        <v>3000000</v>
      </c>
      <c r="D1616">
        <v>6000</v>
      </c>
    </row>
    <row r="1617" spans="1:4" x14ac:dyDescent="0.25">
      <c r="A1617" t="str">
        <f>T("   NL")</f>
        <v xml:space="preserve">   NL</v>
      </c>
      <c r="B1617" t="str">
        <f>T("   Pays-bas")</f>
        <v xml:space="preserve">   Pays-bas</v>
      </c>
      <c r="C1617">
        <v>2789378</v>
      </c>
      <c r="D1617">
        <v>1225</v>
      </c>
    </row>
    <row r="1618" spans="1:4" x14ac:dyDescent="0.25">
      <c r="A1618" t="str">
        <f>T("   SD")</f>
        <v xml:space="preserve">   SD</v>
      </c>
      <c r="B1618" t="str">
        <f>T("   Soudan")</f>
        <v xml:space="preserve">   Soudan</v>
      </c>
      <c r="C1618">
        <v>1700000</v>
      </c>
      <c r="D1618">
        <v>3000</v>
      </c>
    </row>
    <row r="1619" spans="1:4" x14ac:dyDescent="0.25">
      <c r="A1619" t="str">
        <f>T("   SN")</f>
        <v xml:space="preserve">   SN</v>
      </c>
      <c r="B1619" t="str">
        <f>T("   Sénégal")</f>
        <v xml:space="preserve">   Sénégal</v>
      </c>
      <c r="C1619">
        <v>70916449</v>
      </c>
      <c r="D1619">
        <v>9449</v>
      </c>
    </row>
    <row r="1620" spans="1:4" x14ac:dyDescent="0.25">
      <c r="A1620" t="str">
        <f>T("   TD")</f>
        <v xml:space="preserve">   TD</v>
      </c>
      <c r="B1620" t="str">
        <f>T("   Tchad")</f>
        <v xml:space="preserve">   Tchad</v>
      </c>
      <c r="C1620">
        <v>3957615</v>
      </c>
      <c r="D1620">
        <v>2300</v>
      </c>
    </row>
    <row r="1621" spans="1:4" x14ac:dyDescent="0.25">
      <c r="A1621" t="str">
        <f>T("   TN")</f>
        <v xml:space="preserve">   TN</v>
      </c>
      <c r="B1621" t="str">
        <f>T("   Tunisie")</f>
        <v xml:space="preserve">   Tunisie</v>
      </c>
      <c r="C1621">
        <v>6375613</v>
      </c>
      <c r="D1621">
        <v>1555</v>
      </c>
    </row>
    <row r="1622" spans="1:4" x14ac:dyDescent="0.25">
      <c r="A1622" t="str">
        <f>T("   US")</f>
        <v xml:space="preserve">   US</v>
      </c>
      <c r="B1622" t="str">
        <f>T("   Etats-Unis")</f>
        <v xml:space="preserve">   Etats-Unis</v>
      </c>
      <c r="C1622">
        <v>1000000</v>
      </c>
      <c r="D1622">
        <v>2000</v>
      </c>
    </row>
    <row r="1623" spans="1:4" x14ac:dyDescent="0.25">
      <c r="A1623" t="str">
        <f>T("870324")</f>
        <v>870324</v>
      </c>
      <c r="B1623" t="s">
        <v>22</v>
      </c>
    </row>
    <row r="1624" spans="1:4" x14ac:dyDescent="0.25">
      <c r="A1624" t="str">
        <f>T("   ZZZ_Monde")</f>
        <v xml:space="preserve">   ZZZ_Monde</v>
      </c>
      <c r="B1624" t="str">
        <f>T("   ZZZ_Monde")</f>
        <v xml:space="preserve">   ZZZ_Monde</v>
      </c>
      <c r="C1624">
        <v>23538080</v>
      </c>
      <c r="D1624">
        <v>6925</v>
      </c>
    </row>
    <row r="1625" spans="1:4" x14ac:dyDescent="0.25">
      <c r="A1625" t="str">
        <f>T("   AE")</f>
        <v xml:space="preserve">   AE</v>
      </c>
      <c r="B1625" t="str">
        <f>T("   Emirats Arabes Unis")</f>
        <v xml:space="preserve">   Emirats Arabes Unis</v>
      </c>
      <c r="C1625">
        <v>9980228</v>
      </c>
      <c r="D1625">
        <v>2800</v>
      </c>
    </row>
    <row r="1626" spans="1:4" x14ac:dyDescent="0.25">
      <c r="A1626" t="str">
        <f>T("   GA")</f>
        <v xml:space="preserve">   GA</v>
      </c>
      <c r="B1626" t="str">
        <f>T("   Gabon")</f>
        <v xml:space="preserve">   Gabon</v>
      </c>
      <c r="C1626">
        <v>655250</v>
      </c>
      <c r="D1626">
        <v>1100</v>
      </c>
    </row>
    <row r="1627" spans="1:4" x14ac:dyDescent="0.25">
      <c r="A1627" t="str">
        <f>T("   LY")</f>
        <v xml:space="preserve">   LY</v>
      </c>
      <c r="B1627" t="str">
        <f>T("   Libyenne, Jamahiriya Arabe")</f>
        <v xml:space="preserve">   Libyenne, Jamahiriya Arabe</v>
      </c>
      <c r="C1627">
        <v>9314632</v>
      </c>
      <c r="D1627">
        <v>1580</v>
      </c>
    </row>
    <row r="1628" spans="1:4" x14ac:dyDescent="0.25">
      <c r="A1628" t="str">
        <f>T("   NE")</f>
        <v xml:space="preserve">   NE</v>
      </c>
      <c r="B1628" t="str">
        <f>T("   Niger")</f>
        <v xml:space="preserve">   Niger</v>
      </c>
      <c r="C1628">
        <v>3587970</v>
      </c>
      <c r="D1628">
        <v>1445</v>
      </c>
    </row>
    <row r="1629" spans="1:4" x14ac:dyDescent="0.25">
      <c r="A1629" t="str">
        <f>T("870331")</f>
        <v>870331</v>
      </c>
      <c r="B1629" t="s">
        <v>23</v>
      </c>
    </row>
    <row r="1630" spans="1:4" x14ac:dyDescent="0.25">
      <c r="A1630" t="str">
        <f>T("   ZZZ_Monde")</f>
        <v xml:space="preserve">   ZZZ_Monde</v>
      </c>
      <c r="B1630" t="str">
        <f>T("   ZZZ_Monde")</f>
        <v xml:space="preserve">   ZZZ_Monde</v>
      </c>
      <c r="C1630">
        <v>26638192</v>
      </c>
      <c r="D1630">
        <v>5100</v>
      </c>
    </row>
    <row r="1631" spans="1:4" x14ac:dyDescent="0.25">
      <c r="A1631" t="str">
        <f>T("   CM")</f>
        <v xml:space="preserve">   CM</v>
      </c>
      <c r="B1631" t="str">
        <f>T("   Cameroun")</f>
        <v xml:space="preserve">   Cameroun</v>
      </c>
      <c r="C1631">
        <v>4067200</v>
      </c>
      <c r="D1631">
        <v>1200</v>
      </c>
    </row>
    <row r="1632" spans="1:4" x14ac:dyDescent="0.25">
      <c r="A1632" t="str">
        <f>T("   FR")</f>
        <v xml:space="preserve">   FR</v>
      </c>
      <c r="B1632" t="str">
        <f>T("   France")</f>
        <v xml:space="preserve">   France</v>
      </c>
      <c r="C1632">
        <v>3215000</v>
      </c>
      <c r="D1632">
        <v>1200</v>
      </c>
    </row>
    <row r="1633" spans="1:4" x14ac:dyDescent="0.25">
      <c r="A1633" t="str">
        <f>T("   SN")</f>
        <v xml:space="preserve">   SN</v>
      </c>
      <c r="B1633" t="str">
        <f>T("   Sénégal")</f>
        <v xml:space="preserve">   Sénégal</v>
      </c>
      <c r="C1633">
        <v>13550392</v>
      </c>
      <c r="D1633">
        <v>1500</v>
      </c>
    </row>
    <row r="1634" spans="1:4" x14ac:dyDescent="0.25">
      <c r="A1634" t="str">
        <f>T("   US")</f>
        <v xml:space="preserve">   US</v>
      </c>
      <c r="B1634" t="str">
        <f>T("   Etats-Unis")</f>
        <v xml:space="preserve">   Etats-Unis</v>
      </c>
      <c r="C1634">
        <v>5805600</v>
      </c>
      <c r="D1634">
        <v>1200</v>
      </c>
    </row>
    <row r="1635" spans="1:4" x14ac:dyDescent="0.25">
      <c r="A1635" t="str">
        <f>T("870332")</f>
        <v>870332</v>
      </c>
      <c r="B1635" t="s">
        <v>24</v>
      </c>
    </row>
    <row r="1636" spans="1:4" x14ac:dyDescent="0.25">
      <c r="A1636" t="str">
        <f>T("   ZZZ_Monde")</f>
        <v xml:space="preserve">   ZZZ_Monde</v>
      </c>
      <c r="B1636" t="str">
        <f>T("   ZZZ_Monde")</f>
        <v xml:space="preserve">   ZZZ_Monde</v>
      </c>
      <c r="C1636">
        <v>24068236</v>
      </c>
      <c r="D1636">
        <v>4650</v>
      </c>
    </row>
    <row r="1637" spans="1:4" x14ac:dyDescent="0.25">
      <c r="A1637" t="str">
        <f>T("   CM")</f>
        <v xml:space="preserve">   CM</v>
      </c>
      <c r="B1637" t="str">
        <f>T("   Cameroun")</f>
        <v xml:space="preserve">   Cameroun</v>
      </c>
      <c r="C1637">
        <v>22668236</v>
      </c>
      <c r="D1637">
        <v>2750</v>
      </c>
    </row>
    <row r="1638" spans="1:4" x14ac:dyDescent="0.25">
      <c r="A1638" t="str">
        <f>T("   FR")</f>
        <v xml:space="preserve">   FR</v>
      </c>
      <c r="B1638" t="str">
        <f>T("   France")</f>
        <v xml:space="preserve">   France</v>
      </c>
      <c r="C1638">
        <v>1400000</v>
      </c>
      <c r="D1638">
        <v>1900</v>
      </c>
    </row>
    <row r="1639" spans="1:4" x14ac:dyDescent="0.25">
      <c r="A1639" t="str">
        <f>T("870333")</f>
        <v>870333</v>
      </c>
      <c r="B1639" t="s">
        <v>25</v>
      </c>
    </row>
    <row r="1640" spans="1:4" x14ac:dyDescent="0.25">
      <c r="A1640" t="str">
        <f>T("   ZZZ_Monde")</f>
        <v xml:space="preserve">   ZZZ_Monde</v>
      </c>
      <c r="B1640" t="str">
        <f>T("   ZZZ_Monde")</f>
        <v xml:space="preserve">   ZZZ_Monde</v>
      </c>
      <c r="C1640">
        <v>9071927</v>
      </c>
      <c r="D1640">
        <v>1790</v>
      </c>
    </row>
    <row r="1641" spans="1:4" x14ac:dyDescent="0.25">
      <c r="A1641" t="str">
        <f>T("   NE")</f>
        <v xml:space="preserve">   NE</v>
      </c>
      <c r="B1641" t="str">
        <f>T("   Niger")</f>
        <v xml:space="preserve">   Niger</v>
      </c>
      <c r="C1641">
        <v>9071927</v>
      </c>
      <c r="D1641">
        <v>1790</v>
      </c>
    </row>
    <row r="1642" spans="1:4" x14ac:dyDescent="0.25">
      <c r="A1642" t="str">
        <f>T("870421")</f>
        <v>870421</v>
      </c>
      <c r="B1642" t="s">
        <v>26</v>
      </c>
    </row>
    <row r="1643" spans="1:4" x14ac:dyDescent="0.25">
      <c r="A1643" t="str">
        <f>T("   ZZZ_Monde")</f>
        <v xml:space="preserve">   ZZZ_Monde</v>
      </c>
      <c r="B1643" t="str">
        <f>T("   ZZZ_Monde")</f>
        <v xml:space="preserve">   ZZZ_Monde</v>
      </c>
      <c r="C1643">
        <v>49670855</v>
      </c>
      <c r="D1643">
        <v>24040</v>
      </c>
    </row>
    <row r="1644" spans="1:4" x14ac:dyDescent="0.25">
      <c r="A1644" t="str">
        <f>T("   CG")</f>
        <v xml:space="preserve">   CG</v>
      </c>
      <c r="B1644" t="str">
        <f>T("   Congo (Brazzaville)")</f>
        <v xml:space="preserve">   Congo (Brazzaville)</v>
      </c>
      <c r="C1644">
        <v>1000000</v>
      </c>
      <c r="D1644">
        <v>1000</v>
      </c>
    </row>
    <row r="1645" spans="1:4" x14ac:dyDescent="0.25">
      <c r="A1645" t="str">
        <f>T("   CN")</f>
        <v xml:space="preserve">   CN</v>
      </c>
      <c r="B1645" t="str">
        <f>T("   Chine")</f>
        <v xml:space="preserve">   Chine</v>
      </c>
      <c r="C1645">
        <v>16838240</v>
      </c>
      <c r="D1645">
        <v>4000</v>
      </c>
    </row>
    <row r="1646" spans="1:4" x14ac:dyDescent="0.25">
      <c r="A1646" t="str">
        <f>T("   GQ")</f>
        <v xml:space="preserve">   GQ</v>
      </c>
      <c r="B1646" t="str">
        <f>T("   Guinée Equatoriale")</f>
        <v xml:space="preserve">   Guinée Equatoriale</v>
      </c>
      <c r="C1646">
        <v>4600000</v>
      </c>
      <c r="D1646">
        <v>10000</v>
      </c>
    </row>
    <row r="1647" spans="1:4" x14ac:dyDescent="0.25">
      <c r="A1647" t="str">
        <f>T("   SN")</f>
        <v xml:space="preserve">   SN</v>
      </c>
      <c r="B1647" t="str">
        <f>T("   Sénégal")</f>
        <v xml:space="preserve">   Sénégal</v>
      </c>
      <c r="C1647">
        <v>2500000</v>
      </c>
      <c r="D1647">
        <v>1800</v>
      </c>
    </row>
    <row r="1648" spans="1:4" x14ac:dyDescent="0.25">
      <c r="A1648" t="str">
        <f>T("   TD")</f>
        <v xml:space="preserve">   TD</v>
      </c>
      <c r="B1648" t="str">
        <f>T("   Tchad")</f>
        <v xml:space="preserve">   Tchad</v>
      </c>
      <c r="C1648">
        <v>6357615</v>
      </c>
      <c r="D1648">
        <v>5240</v>
      </c>
    </row>
    <row r="1649" spans="1:4" x14ac:dyDescent="0.25">
      <c r="A1649" t="str">
        <f>T("   TG")</f>
        <v xml:space="preserve">   TG</v>
      </c>
      <c r="B1649" t="str">
        <f>T("   Togo")</f>
        <v xml:space="preserve">   Togo</v>
      </c>
      <c r="C1649">
        <v>18375000</v>
      </c>
      <c r="D1649">
        <v>2000</v>
      </c>
    </row>
    <row r="1650" spans="1:4" x14ac:dyDescent="0.25">
      <c r="A1650" t="str">
        <f>T("870422")</f>
        <v>870422</v>
      </c>
      <c r="B1650" t="s">
        <v>27</v>
      </c>
    </row>
    <row r="1651" spans="1:4" x14ac:dyDescent="0.25">
      <c r="A1651" t="str">
        <f>T("   ZZZ_Monde")</f>
        <v xml:space="preserve">   ZZZ_Monde</v>
      </c>
      <c r="B1651" t="str">
        <f>T("   ZZZ_Monde")</f>
        <v xml:space="preserve">   ZZZ_Monde</v>
      </c>
      <c r="C1651">
        <v>58736477</v>
      </c>
      <c r="D1651">
        <v>93615</v>
      </c>
    </row>
    <row r="1652" spans="1:4" x14ac:dyDescent="0.25">
      <c r="A1652" t="str">
        <f>T("   BF")</f>
        <v xml:space="preserve">   BF</v>
      </c>
      <c r="B1652" t="str">
        <f>T("   Burkina Faso")</f>
        <v xml:space="preserve">   Burkina Faso</v>
      </c>
      <c r="C1652">
        <v>18476373</v>
      </c>
      <c r="D1652">
        <v>17000</v>
      </c>
    </row>
    <row r="1653" spans="1:4" x14ac:dyDescent="0.25">
      <c r="A1653" t="str">
        <f>T("   GA")</f>
        <v xml:space="preserve">   GA</v>
      </c>
      <c r="B1653" t="str">
        <f>T("   Gabon")</f>
        <v xml:space="preserve">   Gabon</v>
      </c>
      <c r="C1653">
        <v>24694384</v>
      </c>
      <c r="D1653">
        <v>52615</v>
      </c>
    </row>
    <row r="1654" spans="1:4" x14ac:dyDescent="0.25">
      <c r="A1654" t="str">
        <f>T("   NE")</f>
        <v xml:space="preserve">   NE</v>
      </c>
      <c r="B1654" t="str">
        <f>T("   Niger")</f>
        <v xml:space="preserve">   Niger</v>
      </c>
      <c r="C1654">
        <v>174931</v>
      </c>
      <c r="D1654">
        <v>10000</v>
      </c>
    </row>
    <row r="1655" spans="1:4" x14ac:dyDescent="0.25">
      <c r="A1655" t="str">
        <f>T("   NG")</f>
        <v xml:space="preserve">   NG</v>
      </c>
      <c r="B1655" t="str">
        <f>T("   Nigéria")</f>
        <v xml:space="preserve">   Nigéria</v>
      </c>
      <c r="C1655">
        <v>15390789</v>
      </c>
      <c r="D1655">
        <v>14000</v>
      </c>
    </row>
    <row r="1656" spans="1:4" x14ac:dyDescent="0.25">
      <c r="A1656" t="str">
        <f>T("870423")</f>
        <v>870423</v>
      </c>
      <c r="B1656" t="s">
        <v>28</v>
      </c>
    </row>
    <row r="1657" spans="1:4" x14ac:dyDescent="0.25">
      <c r="A1657" t="str">
        <f>T("   ZZZ_Monde")</f>
        <v xml:space="preserve">   ZZZ_Monde</v>
      </c>
      <c r="B1657" t="str">
        <f>T("   ZZZ_Monde")</f>
        <v xml:space="preserve">   ZZZ_Monde</v>
      </c>
      <c r="C1657">
        <v>36000000</v>
      </c>
      <c r="D1657">
        <v>16329</v>
      </c>
    </row>
    <row r="1658" spans="1:4" x14ac:dyDescent="0.25">
      <c r="A1658" t="str">
        <f>T("   BE")</f>
        <v xml:space="preserve">   BE</v>
      </c>
      <c r="B1658" t="str">
        <f>T("   Belgique")</f>
        <v xml:space="preserve">   Belgique</v>
      </c>
      <c r="C1658">
        <v>36000000</v>
      </c>
      <c r="D1658">
        <v>16329</v>
      </c>
    </row>
    <row r="1659" spans="1:4" x14ac:dyDescent="0.25">
      <c r="A1659" t="str">
        <f>T("870431")</f>
        <v>870431</v>
      </c>
      <c r="B1659" t="s">
        <v>29</v>
      </c>
    </row>
    <row r="1660" spans="1:4" x14ac:dyDescent="0.25">
      <c r="A1660" t="str">
        <f>T("   ZZZ_Monde")</f>
        <v xml:space="preserve">   ZZZ_Monde</v>
      </c>
      <c r="B1660" t="str">
        <f>T("   ZZZ_Monde")</f>
        <v xml:space="preserve">   ZZZ_Monde</v>
      </c>
      <c r="C1660">
        <v>1200000</v>
      </c>
      <c r="D1660">
        <v>1000</v>
      </c>
    </row>
    <row r="1661" spans="1:4" x14ac:dyDescent="0.25">
      <c r="A1661" t="str">
        <f>T("   CD")</f>
        <v xml:space="preserve">   CD</v>
      </c>
      <c r="B1661" t="str">
        <f>T("   Congo, République Démocratique")</f>
        <v xml:space="preserve">   Congo, République Démocratique</v>
      </c>
      <c r="C1661">
        <v>1200000</v>
      </c>
      <c r="D1661">
        <v>1000</v>
      </c>
    </row>
    <row r="1662" spans="1:4" x14ac:dyDescent="0.25">
      <c r="A1662" t="str">
        <f>T("870490")</f>
        <v>870490</v>
      </c>
      <c r="B1662" t="str">
        <f>T("Véhicules automobiles pour le transport de marchandises à moteur autre qu'à piston à allumage par étincelles ou moteur diesel ou semi-diesel (sauf tombereaux automoteurs du n° 8704.10, véhicules automobiles à usages spéciaux du n° 8705)")</f>
        <v>Véhicules automobiles pour le transport de marchandises à moteur autre qu'à piston à allumage par étincelles ou moteur diesel ou semi-diesel (sauf tombereaux automoteurs du n° 8704.10, véhicules automobiles à usages spéciaux du n° 8705)</v>
      </c>
    </row>
    <row r="1663" spans="1:4" x14ac:dyDescent="0.25">
      <c r="A1663" t="str">
        <f>T("   ZZZ_Monde")</f>
        <v xml:space="preserve">   ZZZ_Monde</v>
      </c>
      <c r="B1663" t="str">
        <f>T("   ZZZ_Monde")</f>
        <v xml:space="preserve">   ZZZ_Monde</v>
      </c>
      <c r="C1663">
        <v>3000000</v>
      </c>
      <c r="D1663">
        <v>3500</v>
      </c>
    </row>
    <row r="1664" spans="1:4" x14ac:dyDescent="0.25">
      <c r="A1664" t="str">
        <f>T("   CG")</f>
        <v xml:space="preserve">   CG</v>
      </c>
      <c r="B1664" t="str">
        <f>T("   Congo (Brazzaville)")</f>
        <v xml:space="preserve">   Congo (Brazzaville)</v>
      </c>
      <c r="C1664">
        <v>3000000</v>
      </c>
      <c r="D1664">
        <v>3500</v>
      </c>
    </row>
    <row r="1665" spans="1:4" x14ac:dyDescent="0.25">
      <c r="A1665" t="str">
        <f>T("870510")</f>
        <v>870510</v>
      </c>
      <c r="B1665" t="str">
        <f>T("Camions-grues (sauf dépanneuses)")</f>
        <v>Camions-grues (sauf dépanneuses)</v>
      </c>
    </row>
    <row r="1666" spans="1:4" x14ac:dyDescent="0.25">
      <c r="A1666" t="str">
        <f>T("   ZZZ_Monde")</f>
        <v xml:space="preserve">   ZZZ_Monde</v>
      </c>
      <c r="B1666" t="str">
        <f>T("   ZZZ_Monde")</f>
        <v xml:space="preserve">   ZZZ_Monde</v>
      </c>
      <c r="C1666">
        <v>4151700</v>
      </c>
      <c r="D1666">
        <v>23500</v>
      </c>
    </row>
    <row r="1667" spans="1:4" x14ac:dyDescent="0.25">
      <c r="A1667" t="str">
        <f>T("   CI")</f>
        <v xml:space="preserve">   CI</v>
      </c>
      <c r="B1667" t="str">
        <f>T("   Côte d'Ivoire")</f>
        <v xml:space="preserve">   Côte d'Ivoire</v>
      </c>
      <c r="C1667">
        <v>4151700</v>
      </c>
      <c r="D1667">
        <v>23500</v>
      </c>
    </row>
    <row r="1668" spans="1:4" x14ac:dyDescent="0.25">
      <c r="A1668" t="str">
        <f>T("870530")</f>
        <v>870530</v>
      </c>
      <c r="B1668" t="str">
        <f>T("Voitures de lutte contre l'incendie (sauf véhicules affectés principalement au transport des sapeurs-pompiers)")</f>
        <v>Voitures de lutte contre l'incendie (sauf véhicules affectés principalement au transport des sapeurs-pompiers)</v>
      </c>
    </row>
    <row r="1669" spans="1:4" x14ac:dyDescent="0.25">
      <c r="A1669" t="str">
        <f>T("   ZZZ_Monde")</f>
        <v xml:space="preserve">   ZZZ_Monde</v>
      </c>
      <c r="B1669" t="str">
        <f>T("   ZZZ_Monde")</f>
        <v xml:space="preserve">   ZZZ_Monde</v>
      </c>
      <c r="C1669">
        <v>297232</v>
      </c>
      <c r="D1669">
        <v>18500</v>
      </c>
    </row>
    <row r="1670" spans="1:4" x14ac:dyDescent="0.25">
      <c r="A1670" t="str">
        <f>T("   NE")</f>
        <v xml:space="preserve">   NE</v>
      </c>
      <c r="B1670" t="str">
        <f>T("   Niger")</f>
        <v xml:space="preserve">   Niger</v>
      </c>
      <c r="C1670">
        <v>297232</v>
      </c>
      <c r="D1670">
        <v>18500</v>
      </c>
    </row>
    <row r="1671" spans="1:4" x14ac:dyDescent="0.25">
      <c r="A1671" t="str">
        <f>T("870540")</f>
        <v>870540</v>
      </c>
      <c r="B1671" t="str">
        <f>T("Camions-bétonnières")</f>
        <v>Camions-bétonnières</v>
      </c>
    </row>
    <row r="1672" spans="1:4" x14ac:dyDescent="0.25">
      <c r="A1672" t="str">
        <f>T("   ZZZ_Monde")</f>
        <v xml:space="preserve">   ZZZ_Monde</v>
      </c>
      <c r="B1672" t="str">
        <f>T("   ZZZ_Monde")</f>
        <v xml:space="preserve">   ZZZ_Monde</v>
      </c>
      <c r="C1672">
        <v>40687886</v>
      </c>
      <c r="D1672">
        <v>13500</v>
      </c>
    </row>
    <row r="1673" spans="1:4" x14ac:dyDescent="0.25">
      <c r="A1673" t="str">
        <f>T("   TG")</f>
        <v xml:space="preserve">   TG</v>
      </c>
      <c r="B1673" t="str">
        <f>T("   Togo")</f>
        <v xml:space="preserve">   Togo</v>
      </c>
      <c r="C1673">
        <v>40687886</v>
      </c>
      <c r="D1673">
        <v>13500</v>
      </c>
    </row>
    <row r="1674" spans="1:4" x14ac:dyDescent="0.25">
      <c r="A1674" t="str">
        <f>T("870590")</f>
        <v>870590</v>
      </c>
      <c r="B1674" t="str">
        <f>T("Véhicules automobiles à usages spéciaux (autres que ceux principalement conçus pour le transport de personnes ou de marchandises et sauf camions-béonnières, voitures de lutte contre l'incendie, derricks automobiles pour le sondage ou le forage, camions-gr")</f>
        <v>Véhicules automobiles à usages spéciaux (autres que ceux principalement conçus pour le transport de personnes ou de marchandises et sauf camions-béonnières, voitures de lutte contre l'incendie, derricks automobiles pour le sondage ou le forage, camions-gr</v>
      </c>
    </row>
    <row r="1675" spans="1:4" x14ac:dyDescent="0.25">
      <c r="A1675" t="str">
        <f>T("   ZZZ_Monde")</f>
        <v xml:space="preserve">   ZZZ_Monde</v>
      </c>
      <c r="B1675" t="str">
        <f>T("   ZZZ_Monde")</f>
        <v xml:space="preserve">   ZZZ_Monde</v>
      </c>
      <c r="C1675">
        <v>13849306</v>
      </c>
      <c r="D1675">
        <v>26514</v>
      </c>
    </row>
    <row r="1676" spans="1:4" x14ac:dyDescent="0.25">
      <c r="A1676" t="str">
        <f>T("   CI")</f>
        <v xml:space="preserve">   CI</v>
      </c>
      <c r="B1676" t="str">
        <f>T("   Côte d'Ivoire")</f>
        <v xml:space="preserve">   Côte d'Ivoire</v>
      </c>
      <c r="C1676">
        <v>2500000</v>
      </c>
      <c r="D1676">
        <v>9920</v>
      </c>
    </row>
    <row r="1677" spans="1:4" x14ac:dyDescent="0.25">
      <c r="A1677" t="str">
        <f>T("   NG")</f>
        <v xml:space="preserve">   NG</v>
      </c>
      <c r="B1677" t="str">
        <f>T("   Nigéria")</f>
        <v xml:space="preserve">   Nigéria</v>
      </c>
      <c r="C1677">
        <v>1680300</v>
      </c>
      <c r="D1677">
        <v>900</v>
      </c>
    </row>
    <row r="1678" spans="1:4" x14ac:dyDescent="0.25">
      <c r="A1678" t="str">
        <f>T("   TG")</f>
        <v xml:space="preserve">   TG</v>
      </c>
      <c r="B1678" t="str">
        <f>T("   Togo")</f>
        <v xml:space="preserve">   Togo</v>
      </c>
      <c r="C1678">
        <v>9669006</v>
      </c>
      <c r="D1678">
        <v>15694</v>
      </c>
    </row>
    <row r="1679" spans="1:4" x14ac:dyDescent="0.25">
      <c r="A1679" t="str">
        <f>T("870829")</f>
        <v>870829</v>
      </c>
      <c r="B1679" t="str">
        <f>T("PARTIES ET ACCESSOIRES DE CARROSSERIE DE TRACTEURS, VÉHICULES POUR LE TRANSPORT DE &gt;= 10 PERSONNES, CHAUFFEUR INCLUS, VOITURES DE TOURISME, VÉHICULES POUR LE TRANSPORT DE MARCHANDISES ET VÉHICULES À USAGES SPÉCIAUX (SAUF PARE-CHOCS ET LEURS PARTIES ET CEI")</f>
        <v>PARTIES ET ACCESSOIRES DE CARROSSERIE DE TRACTEURS, VÉHICULES POUR LE TRANSPORT DE &gt;= 10 PERSONNES, CHAUFFEUR INCLUS, VOITURES DE TOURISME, VÉHICULES POUR LE TRANSPORT DE MARCHANDISES ET VÉHICULES À USAGES SPÉCIAUX (SAUF PARE-CHOCS ET LEURS PARTIES ET CEI</v>
      </c>
    </row>
    <row r="1680" spans="1:4" x14ac:dyDescent="0.25">
      <c r="A1680" t="str">
        <f>T("   ZZZ_Monde")</f>
        <v xml:space="preserve">   ZZZ_Monde</v>
      </c>
      <c r="B1680" t="str">
        <f>T("   ZZZ_Monde")</f>
        <v xml:space="preserve">   ZZZ_Monde</v>
      </c>
      <c r="C1680">
        <v>170000</v>
      </c>
      <c r="D1680">
        <v>500</v>
      </c>
    </row>
    <row r="1681" spans="1:4" x14ac:dyDescent="0.25">
      <c r="A1681" t="str">
        <f>T("   GQ")</f>
        <v xml:space="preserve">   GQ</v>
      </c>
      <c r="B1681" t="str">
        <f>T("   Guinée Equatoriale")</f>
        <v xml:space="preserve">   Guinée Equatoriale</v>
      </c>
      <c r="C1681">
        <v>170000</v>
      </c>
      <c r="D1681">
        <v>500</v>
      </c>
    </row>
    <row r="1682" spans="1:4" x14ac:dyDescent="0.25">
      <c r="A1682" t="str">
        <f>T("870870")</f>
        <v>870870</v>
      </c>
      <c r="B1682" t="str">
        <f>T("ROUES, LEURS PARTIES ET ACCESSOIRES POUR TRACTEURS, VÉHICULES POUR LE TRANSPORT DE &gt;= 10 PERSONNES, CHAUFFEUR INCLUS, VOITURES DE TOURISME, VÉHICULES POUR LE TRANSPORT DE MARCHANDISES ET VÉHICULES À USAGES SPÉCIAUX, N.D.A.")</f>
        <v>ROUES, LEURS PARTIES ET ACCESSOIRES POUR TRACTEURS, VÉHICULES POUR LE TRANSPORT DE &gt;= 10 PERSONNES, CHAUFFEUR INCLUS, VOITURES DE TOURISME, VÉHICULES POUR LE TRANSPORT DE MARCHANDISES ET VÉHICULES À USAGES SPÉCIAUX, N.D.A.</v>
      </c>
    </row>
    <row r="1683" spans="1:4" x14ac:dyDescent="0.25">
      <c r="A1683" t="str">
        <f>T("   ZZZ_Monde")</f>
        <v xml:space="preserve">   ZZZ_Monde</v>
      </c>
      <c r="B1683" t="str">
        <f>T("   ZZZ_Monde")</f>
        <v xml:space="preserve">   ZZZ_Monde</v>
      </c>
      <c r="C1683">
        <v>2000932</v>
      </c>
      <c r="D1683">
        <v>302</v>
      </c>
    </row>
    <row r="1684" spans="1:4" x14ac:dyDescent="0.25">
      <c r="A1684" t="str">
        <f>T("   GQ")</f>
        <v xml:space="preserve">   GQ</v>
      </c>
      <c r="B1684" t="str">
        <f>T("   Guinée Equatoriale")</f>
        <v xml:space="preserve">   Guinée Equatoriale</v>
      </c>
      <c r="C1684">
        <v>220000</v>
      </c>
      <c r="D1684">
        <v>100</v>
      </c>
    </row>
    <row r="1685" spans="1:4" x14ac:dyDescent="0.25">
      <c r="A1685" t="str">
        <f>T("   TG")</f>
        <v xml:space="preserve">   TG</v>
      </c>
      <c r="B1685" t="str">
        <f>T("   Togo")</f>
        <v xml:space="preserve">   Togo</v>
      </c>
      <c r="C1685">
        <v>1780932</v>
      </c>
      <c r="D1685">
        <v>202</v>
      </c>
    </row>
    <row r="1686" spans="1:4" x14ac:dyDescent="0.25">
      <c r="A1686" t="str">
        <f>T("870899")</f>
        <v>870899</v>
      </c>
      <c r="B1686" t="str">
        <f>T("PARTIES ET ACCESSOIRES, POUR TRACTEURS, VÉHICULES POUR LE TRANSPORT DE &gt;= 10 PERSONNES, CHAUFFEUR INCLUS, VOITURES DE TOURISME, VÉHICULES POUR LE TRANSPORT DE MARCHANDISES ET VÉHICULES À USAGES SPÉCIAUX, N.D.A.")</f>
        <v>PARTIES ET ACCESSOIRES, POUR TRACTEURS, VÉHICULES POUR LE TRANSPORT DE &gt;= 10 PERSONNES, CHAUFFEUR INCLUS, VOITURES DE TOURISME, VÉHICULES POUR LE TRANSPORT DE MARCHANDISES ET VÉHICULES À USAGES SPÉCIAUX, N.D.A.</v>
      </c>
    </row>
    <row r="1687" spans="1:4" x14ac:dyDescent="0.25">
      <c r="A1687" t="str">
        <f>T("   ZZZ_Monde")</f>
        <v xml:space="preserve">   ZZZ_Monde</v>
      </c>
      <c r="B1687" t="str">
        <f>T("   ZZZ_Monde")</f>
        <v xml:space="preserve">   ZZZ_Monde</v>
      </c>
      <c r="C1687">
        <v>8240589</v>
      </c>
      <c r="D1687">
        <v>11596</v>
      </c>
    </row>
    <row r="1688" spans="1:4" x14ac:dyDescent="0.25">
      <c r="A1688" t="str">
        <f>T("   GA")</f>
        <v xml:space="preserve">   GA</v>
      </c>
      <c r="B1688" t="str">
        <f>T("   Gabon")</f>
        <v xml:space="preserve">   Gabon</v>
      </c>
      <c r="C1688">
        <v>4430000</v>
      </c>
      <c r="D1688">
        <v>8300</v>
      </c>
    </row>
    <row r="1689" spans="1:4" x14ac:dyDescent="0.25">
      <c r="A1689" t="str">
        <f>T("   GQ")</f>
        <v xml:space="preserve">   GQ</v>
      </c>
      <c r="B1689" t="str">
        <f>T("   Guinée Equatoriale")</f>
        <v xml:space="preserve">   Guinée Equatoriale</v>
      </c>
      <c r="C1689">
        <v>800000</v>
      </c>
      <c r="D1689">
        <v>200</v>
      </c>
    </row>
    <row r="1690" spans="1:4" x14ac:dyDescent="0.25">
      <c r="A1690" t="str">
        <f>T("   KY")</f>
        <v xml:space="preserve">   KY</v>
      </c>
      <c r="B1690" t="str">
        <f>T("   Caïmans, îles")</f>
        <v xml:space="preserve">   Caïmans, îles</v>
      </c>
      <c r="C1690">
        <v>135531</v>
      </c>
      <c r="D1690">
        <v>65</v>
      </c>
    </row>
    <row r="1691" spans="1:4" x14ac:dyDescent="0.25">
      <c r="A1691" t="str">
        <f>T("   PG")</f>
        <v xml:space="preserve">   PG</v>
      </c>
      <c r="B1691" t="str">
        <f>T("   Papouasie Nouvelle Guinée")</f>
        <v xml:space="preserve">   Papouasie Nouvelle Guinée</v>
      </c>
      <c r="C1691">
        <v>1039058</v>
      </c>
      <c r="D1691">
        <v>531</v>
      </c>
    </row>
    <row r="1692" spans="1:4" x14ac:dyDescent="0.25">
      <c r="A1692" t="str">
        <f>T("   US")</f>
        <v xml:space="preserve">   US</v>
      </c>
      <c r="B1692" t="str">
        <f>T("   Etats-Unis")</f>
        <v xml:space="preserve">   Etats-Unis</v>
      </c>
      <c r="C1692">
        <v>1836000</v>
      </c>
      <c r="D1692">
        <v>2500</v>
      </c>
    </row>
    <row r="1693" spans="1:4" x14ac:dyDescent="0.25">
      <c r="A1693" t="str">
        <f>T("870919")</f>
        <v>870919</v>
      </c>
      <c r="B1693" t="str">
        <f>T("CHARIOTS AUTOMOBILES NON-ÉLECTRIQUES, NON-MUNIS D'UN DISPOSITIF DE LEVAGE, DES TYPES UTILISÉS POUR LE TRANSPORT DES MARCHANDISES SUR DE COURTES DISTANCES, Y.C. LES CHARIOTS-TRACTEURS DES TYPES UTILISÉS DANS LES GARES")</f>
        <v>CHARIOTS AUTOMOBILES NON-ÉLECTRIQUES, NON-MUNIS D'UN DISPOSITIF DE LEVAGE, DES TYPES UTILISÉS POUR LE TRANSPORT DES MARCHANDISES SUR DE COURTES DISTANCES, Y.C. LES CHARIOTS-TRACTEURS DES TYPES UTILISÉS DANS LES GARES</v>
      </c>
    </row>
    <row r="1694" spans="1:4" x14ac:dyDescent="0.25">
      <c r="A1694" t="str">
        <f>T("   ZZZ_Monde")</f>
        <v xml:space="preserve">   ZZZ_Monde</v>
      </c>
      <c r="B1694" t="str">
        <f>T("   ZZZ_Monde")</f>
        <v xml:space="preserve">   ZZZ_Monde</v>
      </c>
      <c r="C1694">
        <v>1200000</v>
      </c>
      <c r="D1694">
        <v>500</v>
      </c>
    </row>
    <row r="1695" spans="1:4" x14ac:dyDescent="0.25">
      <c r="A1695" t="str">
        <f>T("   GQ")</f>
        <v xml:space="preserve">   GQ</v>
      </c>
      <c r="B1695" t="str">
        <f>T("   Guinée Equatoriale")</f>
        <v xml:space="preserve">   Guinée Equatoriale</v>
      </c>
      <c r="C1695">
        <v>1200000</v>
      </c>
      <c r="D1695">
        <v>500</v>
      </c>
    </row>
    <row r="1696" spans="1:4" x14ac:dyDescent="0.25">
      <c r="A1696" t="str">
        <f>T("871110")</f>
        <v>871110</v>
      </c>
      <c r="B1696" t="str">
        <f>T("Cyclomoteurs, à moteur à piston alternatif, cylindrée &lt;= 50 cm³, y.c. cycles à moteur auxiliaire")</f>
        <v>Cyclomoteurs, à moteur à piston alternatif, cylindrée &lt;= 50 cm³, y.c. cycles à moteur auxiliaire</v>
      </c>
    </row>
    <row r="1697" spans="1:4" x14ac:dyDescent="0.25">
      <c r="A1697" t="str">
        <f>T("   ZZZ_Monde")</f>
        <v xml:space="preserve">   ZZZ_Monde</v>
      </c>
      <c r="B1697" t="str">
        <f>T("   ZZZ_Monde")</f>
        <v xml:space="preserve">   ZZZ_Monde</v>
      </c>
      <c r="C1697">
        <v>47216448</v>
      </c>
      <c r="D1697">
        <v>14882</v>
      </c>
    </row>
    <row r="1698" spans="1:4" x14ac:dyDescent="0.25">
      <c r="A1698" t="str">
        <f>T("   CG")</f>
        <v xml:space="preserve">   CG</v>
      </c>
      <c r="B1698" t="str">
        <f>T("   Congo (Brazzaville)")</f>
        <v xml:space="preserve">   Congo (Brazzaville)</v>
      </c>
      <c r="C1698">
        <v>819365</v>
      </c>
      <c r="D1698">
        <v>150</v>
      </c>
    </row>
    <row r="1699" spans="1:4" x14ac:dyDescent="0.25">
      <c r="A1699" t="str">
        <f>T("   CI")</f>
        <v xml:space="preserve">   CI</v>
      </c>
      <c r="B1699" t="str">
        <f>T("   Côte d'Ivoire")</f>
        <v xml:space="preserve">   Côte d'Ivoire</v>
      </c>
      <c r="C1699">
        <v>44820155</v>
      </c>
      <c r="D1699">
        <v>14310</v>
      </c>
    </row>
    <row r="1700" spans="1:4" x14ac:dyDescent="0.25">
      <c r="A1700" t="str">
        <f>T("   LB")</f>
        <v xml:space="preserve">   LB</v>
      </c>
      <c r="B1700" t="str">
        <f>T("   Liban")</f>
        <v xml:space="preserve">   Liban</v>
      </c>
      <c r="C1700">
        <v>1576928</v>
      </c>
      <c r="D1700">
        <v>422</v>
      </c>
    </row>
    <row r="1701" spans="1:4" x14ac:dyDescent="0.25">
      <c r="A1701" t="str">
        <f>T("871120")</f>
        <v>871120</v>
      </c>
      <c r="B1701" t="str">
        <f>T("Motocycles à moteur à piston alternatif, cylindrée &gt; 50 cm³ mais &lt;= 250 cm³")</f>
        <v>Motocycles à moteur à piston alternatif, cylindrée &gt; 50 cm³ mais &lt;= 250 cm³</v>
      </c>
    </row>
    <row r="1702" spans="1:4" x14ac:dyDescent="0.25">
      <c r="A1702" t="str">
        <f>T("   ZZZ_Monde")</f>
        <v xml:space="preserve">   ZZZ_Monde</v>
      </c>
      <c r="B1702" t="str">
        <f>T("   ZZZ_Monde")</f>
        <v xml:space="preserve">   ZZZ_Monde</v>
      </c>
      <c r="C1702">
        <v>10214000</v>
      </c>
      <c r="D1702">
        <v>34555</v>
      </c>
    </row>
    <row r="1703" spans="1:4" x14ac:dyDescent="0.25">
      <c r="A1703" t="str">
        <f>T("   CN")</f>
        <v xml:space="preserve">   CN</v>
      </c>
      <c r="B1703" t="str">
        <f>T("   Chine")</f>
        <v xml:space="preserve">   Chine</v>
      </c>
      <c r="C1703">
        <v>970000</v>
      </c>
      <c r="D1703">
        <v>23220</v>
      </c>
    </row>
    <row r="1704" spans="1:4" x14ac:dyDescent="0.25">
      <c r="A1704" t="str">
        <f>T("   GA")</f>
        <v xml:space="preserve">   GA</v>
      </c>
      <c r="B1704" t="str">
        <f>T("   Gabon")</f>
        <v xml:space="preserve">   Gabon</v>
      </c>
      <c r="C1704">
        <v>5475000</v>
      </c>
      <c r="D1704">
        <v>4635</v>
      </c>
    </row>
    <row r="1705" spans="1:4" x14ac:dyDescent="0.25">
      <c r="A1705" t="str">
        <f>T("   GN")</f>
        <v xml:space="preserve">   GN</v>
      </c>
      <c r="B1705" t="str">
        <f>T("   Guinée")</f>
        <v xml:space="preserve">   Guinée</v>
      </c>
      <c r="C1705">
        <v>1130000</v>
      </c>
      <c r="D1705">
        <v>1500</v>
      </c>
    </row>
    <row r="1706" spans="1:4" x14ac:dyDescent="0.25">
      <c r="A1706" t="str">
        <f>T("   GQ")</f>
        <v xml:space="preserve">   GQ</v>
      </c>
      <c r="B1706" t="str">
        <f>T("   Guinée Equatoriale")</f>
        <v xml:space="preserve">   Guinée Equatoriale</v>
      </c>
      <c r="C1706">
        <v>2339000</v>
      </c>
      <c r="D1706">
        <v>5000</v>
      </c>
    </row>
    <row r="1707" spans="1:4" x14ac:dyDescent="0.25">
      <c r="A1707" t="str">
        <f>T("   IT")</f>
        <v xml:space="preserve">   IT</v>
      </c>
      <c r="B1707" t="str">
        <f>T("   Italie")</f>
        <v xml:space="preserve">   Italie</v>
      </c>
      <c r="C1707">
        <v>300000</v>
      </c>
      <c r="D1707">
        <v>200</v>
      </c>
    </row>
    <row r="1708" spans="1:4" x14ac:dyDescent="0.25">
      <c r="A1708" t="str">
        <f>T("871130")</f>
        <v>871130</v>
      </c>
      <c r="B1708" t="str">
        <f>T("Motocycles à moteur à piston alternatif, cylindrée &gt; 250 cm³ mais &lt;= 500 cm³")</f>
        <v>Motocycles à moteur à piston alternatif, cylindrée &gt; 250 cm³ mais &lt;= 500 cm³</v>
      </c>
    </row>
    <row r="1709" spans="1:4" x14ac:dyDescent="0.25">
      <c r="A1709" t="str">
        <f>T("   ZZZ_Monde")</f>
        <v xml:space="preserve">   ZZZ_Monde</v>
      </c>
      <c r="B1709" t="str">
        <f>T("   ZZZ_Monde")</f>
        <v xml:space="preserve">   ZZZ_Monde</v>
      </c>
      <c r="C1709">
        <v>8490000</v>
      </c>
      <c r="D1709">
        <v>895</v>
      </c>
    </row>
    <row r="1710" spans="1:4" x14ac:dyDescent="0.25">
      <c r="A1710" t="str">
        <f>T("   GA")</f>
        <v xml:space="preserve">   GA</v>
      </c>
      <c r="B1710" t="str">
        <f>T("   Gabon")</f>
        <v xml:space="preserve">   Gabon</v>
      </c>
      <c r="C1710">
        <v>7680000</v>
      </c>
      <c r="D1710">
        <v>620</v>
      </c>
    </row>
    <row r="1711" spans="1:4" x14ac:dyDescent="0.25">
      <c r="A1711" t="str">
        <f>T("   LY")</f>
        <v xml:space="preserve">   LY</v>
      </c>
      <c r="B1711" t="str">
        <f>T("   Libyenne, Jamahiriya Arabe")</f>
        <v xml:space="preserve">   Libyenne, Jamahiriya Arabe</v>
      </c>
      <c r="C1711">
        <v>700000</v>
      </c>
      <c r="D1711">
        <v>200</v>
      </c>
    </row>
    <row r="1712" spans="1:4" x14ac:dyDescent="0.25">
      <c r="A1712" t="str">
        <f>T("   NE")</f>
        <v xml:space="preserve">   NE</v>
      </c>
      <c r="B1712" t="str">
        <f>T("   Niger")</f>
        <v xml:space="preserve">   Niger</v>
      </c>
      <c r="C1712">
        <v>110000</v>
      </c>
      <c r="D1712">
        <v>75</v>
      </c>
    </row>
    <row r="1713" spans="1:4" x14ac:dyDescent="0.25">
      <c r="A1713" t="str">
        <f>T("871640")</f>
        <v>871640</v>
      </c>
      <c r="B1713" t="str">
        <f>T("Remorques ne circulant pas sur rails (à l'excl. des remorques pour le transport de marchandises et remorques pour l'habitation ou le camping, du type caravane)")</f>
        <v>Remorques ne circulant pas sur rails (à l'excl. des remorques pour le transport de marchandises et remorques pour l'habitation ou le camping, du type caravane)</v>
      </c>
    </row>
    <row r="1714" spans="1:4" x14ac:dyDescent="0.25">
      <c r="A1714" t="str">
        <f>T("   ZZZ_Monde")</f>
        <v xml:space="preserve">   ZZZ_Monde</v>
      </c>
      <c r="B1714" t="str">
        <f>T("   ZZZ_Monde")</f>
        <v xml:space="preserve">   ZZZ_Monde</v>
      </c>
      <c r="C1714">
        <v>3512830</v>
      </c>
      <c r="D1714">
        <v>12000</v>
      </c>
    </row>
    <row r="1715" spans="1:4" x14ac:dyDescent="0.25">
      <c r="A1715" t="str">
        <f>T("   BF")</f>
        <v xml:space="preserve">   BF</v>
      </c>
      <c r="B1715" t="str">
        <f>T("   Burkina Faso")</f>
        <v xml:space="preserve">   Burkina Faso</v>
      </c>
      <c r="C1715">
        <v>1512830</v>
      </c>
      <c r="D1715">
        <v>4000</v>
      </c>
    </row>
    <row r="1716" spans="1:4" x14ac:dyDescent="0.25">
      <c r="A1716" t="str">
        <f>T("   GQ")</f>
        <v xml:space="preserve">   GQ</v>
      </c>
      <c r="B1716" t="str">
        <f>T("   Guinée Equatoriale")</f>
        <v xml:space="preserve">   Guinée Equatoriale</v>
      </c>
      <c r="C1716">
        <v>2000000</v>
      </c>
      <c r="D1716">
        <v>8000</v>
      </c>
    </row>
    <row r="1717" spans="1:4" x14ac:dyDescent="0.25">
      <c r="A1717" t="str">
        <f>T("871680")</f>
        <v>871680</v>
      </c>
      <c r="B1717" t="str">
        <f>T("Véhicules dirigés à la main et autres véhicules non automobiles, autres que remorques et semi-remorques")</f>
        <v>Véhicules dirigés à la main et autres véhicules non automobiles, autres que remorques et semi-remorques</v>
      </c>
    </row>
    <row r="1718" spans="1:4" x14ac:dyDescent="0.25">
      <c r="A1718" t="str">
        <f>T("   ZZZ_Monde")</f>
        <v xml:space="preserve">   ZZZ_Monde</v>
      </c>
      <c r="B1718" t="str">
        <f>T("   ZZZ_Monde")</f>
        <v xml:space="preserve">   ZZZ_Monde</v>
      </c>
      <c r="C1718">
        <v>960000</v>
      </c>
      <c r="D1718">
        <v>1280</v>
      </c>
    </row>
    <row r="1719" spans="1:4" x14ac:dyDescent="0.25">
      <c r="A1719" t="str">
        <f>T("   GH")</f>
        <v xml:space="preserve">   GH</v>
      </c>
      <c r="B1719" t="str">
        <f>T("   Ghana")</f>
        <v xml:space="preserve">   Ghana</v>
      </c>
      <c r="C1719">
        <v>960000</v>
      </c>
      <c r="D1719">
        <v>1280</v>
      </c>
    </row>
    <row r="1720" spans="1:4" x14ac:dyDescent="0.25">
      <c r="A1720" t="str">
        <f>T("890399")</f>
        <v>890399</v>
      </c>
      <c r="B1720" t="str">
        <f>T("Bateaux, de plaisance ou de sport (sauf bateaux à moteur autre qu' à moteur hors-bord, bateaux à voile, même avec moteur auxiliaire, et bateaux gonflables); bateaux à rames et canoës")</f>
        <v>Bateaux, de plaisance ou de sport (sauf bateaux à moteur autre qu' à moteur hors-bord, bateaux à voile, même avec moteur auxiliaire, et bateaux gonflables); bateaux à rames et canoës</v>
      </c>
    </row>
    <row r="1721" spans="1:4" x14ac:dyDescent="0.25">
      <c r="A1721" t="str">
        <f>T("   ZZZ_Monde")</f>
        <v xml:space="preserve">   ZZZ_Monde</v>
      </c>
      <c r="B1721" t="str">
        <f>T("   ZZZ_Monde")</f>
        <v xml:space="preserve">   ZZZ_Monde</v>
      </c>
      <c r="C1721">
        <v>32500000</v>
      </c>
      <c r="D1721">
        <v>3400</v>
      </c>
    </row>
    <row r="1722" spans="1:4" x14ac:dyDescent="0.25">
      <c r="A1722" t="str">
        <f>T("   GA")</f>
        <v xml:space="preserve">   GA</v>
      </c>
      <c r="B1722" t="str">
        <f>T("   Gabon")</f>
        <v xml:space="preserve">   Gabon</v>
      </c>
      <c r="C1722">
        <v>32500000</v>
      </c>
      <c r="D1722">
        <v>3400</v>
      </c>
    </row>
    <row r="1723" spans="1:4" x14ac:dyDescent="0.25">
      <c r="A1723" t="str">
        <f>T("890520")</f>
        <v>890520</v>
      </c>
      <c r="B1723" t="str">
        <f>T("Plates-formes de forage ou d'exploitation, flottantes ou submersibles")</f>
        <v>Plates-formes de forage ou d'exploitation, flottantes ou submersibles</v>
      </c>
    </row>
    <row r="1724" spans="1:4" x14ac:dyDescent="0.25">
      <c r="A1724" t="str">
        <f>T("   ZZZ_Monde")</f>
        <v xml:space="preserve">   ZZZ_Monde</v>
      </c>
      <c r="B1724" t="str">
        <f>T("   ZZZ_Monde")</f>
        <v xml:space="preserve">   ZZZ_Monde</v>
      </c>
      <c r="C1724">
        <v>18372362400</v>
      </c>
      <c r="D1724">
        <v>2871000</v>
      </c>
    </row>
    <row r="1725" spans="1:4" x14ac:dyDescent="0.25">
      <c r="A1725" t="str">
        <f>T("   NO")</f>
        <v xml:space="preserve">   NO</v>
      </c>
      <c r="B1725" t="str">
        <f>T("   Norvège")</f>
        <v xml:space="preserve">   Norvège</v>
      </c>
      <c r="C1725">
        <v>18372362400</v>
      </c>
      <c r="D1725">
        <v>2871000</v>
      </c>
    </row>
    <row r="1726" spans="1:4" x14ac:dyDescent="0.25">
      <c r="A1726" t="str">
        <f>T("890710")</f>
        <v>890710</v>
      </c>
      <c r="B1726" t="str">
        <f>T("Radeaux gonflables")</f>
        <v>Radeaux gonflables</v>
      </c>
    </row>
    <row r="1727" spans="1:4" x14ac:dyDescent="0.25">
      <c r="A1727" t="str">
        <f>T("   ZZZ_Monde")</f>
        <v xml:space="preserve">   ZZZ_Monde</v>
      </c>
      <c r="B1727" t="str">
        <f>T("   ZZZ_Monde")</f>
        <v xml:space="preserve">   ZZZ_Monde</v>
      </c>
      <c r="C1727">
        <v>959223</v>
      </c>
      <c r="D1727">
        <v>100</v>
      </c>
    </row>
    <row r="1728" spans="1:4" x14ac:dyDescent="0.25">
      <c r="A1728" t="str">
        <f>T("   LB")</f>
        <v xml:space="preserve">   LB</v>
      </c>
      <c r="B1728" t="str">
        <f>T("   Liban")</f>
        <v xml:space="preserve">   Liban</v>
      </c>
      <c r="C1728">
        <v>959223</v>
      </c>
      <c r="D1728">
        <v>100</v>
      </c>
    </row>
    <row r="1729" spans="1:4" x14ac:dyDescent="0.25">
      <c r="A1729" t="str">
        <f>T("901580")</f>
        <v>901580</v>
      </c>
      <c r="B1729" t="str">
        <f>T("Instruments et appareils de géodésie, de topographie, d'arpentage, de nivellement, d'hydrographie, de météorologie, d'hydrologie, de géophysique ou d'océanographie (à l'excl. des boussoles, des télémètres, des théodolites, des tachéomètres, des niveaux ai")</f>
        <v>Instruments et appareils de géodésie, de topographie, d'arpentage, de nivellement, d'hydrographie, de météorologie, d'hydrologie, de géophysique ou d'océanographie (à l'excl. des boussoles, des télémètres, des théodolites, des tachéomètres, des niveaux ai</v>
      </c>
    </row>
    <row r="1730" spans="1:4" x14ac:dyDescent="0.25">
      <c r="A1730" t="str">
        <f>T("   ZZZ_Monde")</f>
        <v xml:space="preserve">   ZZZ_Monde</v>
      </c>
      <c r="B1730" t="str">
        <f>T("   ZZZ_Monde")</f>
        <v xml:space="preserve">   ZZZ_Monde</v>
      </c>
      <c r="C1730">
        <v>114553666</v>
      </c>
      <c r="D1730">
        <v>1131</v>
      </c>
    </row>
    <row r="1731" spans="1:4" x14ac:dyDescent="0.25">
      <c r="A1731" t="str">
        <f>T("   FR")</f>
        <v xml:space="preserve">   FR</v>
      </c>
      <c r="B1731" t="str">
        <f>T("   France")</f>
        <v xml:space="preserve">   France</v>
      </c>
      <c r="C1731">
        <v>3280600</v>
      </c>
      <c r="D1731">
        <v>125</v>
      </c>
    </row>
    <row r="1732" spans="1:4" x14ac:dyDescent="0.25">
      <c r="A1732" t="str">
        <f>T("   NL")</f>
        <v xml:space="preserve">   NL</v>
      </c>
      <c r="B1732" t="str">
        <f>T("   Pays-bas")</f>
        <v xml:space="preserve">   Pays-bas</v>
      </c>
      <c r="C1732">
        <v>111273066</v>
      </c>
      <c r="D1732">
        <v>1006</v>
      </c>
    </row>
    <row r="1733" spans="1:4" x14ac:dyDescent="0.25">
      <c r="A1733" t="str">
        <f>T("901590")</f>
        <v>901590</v>
      </c>
      <c r="B1733" t="str">
        <f>T("Parties et accessoires des instruments et appareils de géodésie, de topographie, d'arpentage, de nivellement, de photogrammétrie, d'hydrographie, d'océanographie, d'hydrologie, de météorologie ou de géophysique ainsi que des télémètres, n.d.a.")</f>
        <v>Parties et accessoires des instruments et appareils de géodésie, de topographie, d'arpentage, de nivellement, de photogrammétrie, d'hydrographie, d'océanographie, d'hydrologie, de météorologie ou de géophysique ainsi que des télémètres, n.d.a.</v>
      </c>
    </row>
    <row r="1734" spans="1:4" x14ac:dyDescent="0.25">
      <c r="A1734" t="str">
        <f>T("   ZZZ_Monde")</f>
        <v xml:space="preserve">   ZZZ_Monde</v>
      </c>
      <c r="B1734" t="str">
        <f>T("   ZZZ_Monde")</f>
        <v xml:space="preserve">   ZZZ_Monde</v>
      </c>
      <c r="C1734">
        <v>7778196</v>
      </c>
      <c r="D1734">
        <v>813</v>
      </c>
    </row>
    <row r="1735" spans="1:4" x14ac:dyDescent="0.25">
      <c r="A1735" t="str">
        <f>T("   FR")</f>
        <v xml:space="preserve">   FR</v>
      </c>
      <c r="B1735" t="str">
        <f>T("   France")</f>
        <v xml:space="preserve">   France</v>
      </c>
      <c r="C1735">
        <v>4937411</v>
      </c>
      <c r="D1735">
        <v>495</v>
      </c>
    </row>
    <row r="1736" spans="1:4" x14ac:dyDescent="0.25">
      <c r="A1736" t="str">
        <f>T("   NL")</f>
        <v xml:space="preserve">   NL</v>
      </c>
      <c r="B1736" t="str">
        <f>T("   Pays-bas")</f>
        <v xml:space="preserve">   Pays-bas</v>
      </c>
      <c r="C1736">
        <v>2840785</v>
      </c>
      <c r="D1736">
        <v>318</v>
      </c>
    </row>
    <row r="1737" spans="1:4" x14ac:dyDescent="0.25">
      <c r="A1737" t="str">
        <f>T("901920")</f>
        <v>901920</v>
      </c>
      <c r="B1737" t="str">
        <f>T("APPAREILS D'OZONOTHERAPIE, D'OXYGÉNOTHERAPIE, D'AÉROSOLTHERAPIE; APPAREILS RESPIRATOIRES DE RÉANIMATION ET AUTRES APPAREILS DE THERAPIE RESPIRATOIRE")</f>
        <v>APPAREILS D'OZONOTHERAPIE, D'OXYGÉNOTHERAPIE, D'AÉROSOLTHERAPIE; APPAREILS RESPIRATOIRES DE RÉANIMATION ET AUTRES APPAREILS DE THERAPIE RESPIRATOIRE</v>
      </c>
    </row>
    <row r="1738" spans="1:4" x14ac:dyDescent="0.25">
      <c r="A1738" t="str">
        <f>T("   ZZZ_Monde")</f>
        <v xml:space="preserve">   ZZZ_Monde</v>
      </c>
      <c r="B1738" t="str">
        <f>T("   ZZZ_Monde")</f>
        <v xml:space="preserve">   ZZZ_Monde</v>
      </c>
      <c r="C1738">
        <v>11580000</v>
      </c>
      <c r="D1738">
        <v>2261</v>
      </c>
    </row>
    <row r="1739" spans="1:4" x14ac:dyDescent="0.25">
      <c r="A1739" t="str">
        <f>T("   FR")</f>
        <v xml:space="preserve">   FR</v>
      </c>
      <c r="B1739" t="str">
        <f>T("   France")</f>
        <v xml:space="preserve">   France</v>
      </c>
      <c r="C1739">
        <v>11580000</v>
      </c>
      <c r="D1739">
        <v>2261</v>
      </c>
    </row>
    <row r="1740" spans="1:4" x14ac:dyDescent="0.25">
      <c r="A1740" t="str">
        <f>T("902290")</f>
        <v>902290</v>
      </c>
      <c r="B1740" t="str">
        <f>T("Dispositifs générateurs de rayons X, autres que tubes à rayons X, générateurs de tension, pupitres de commande, écrans, tables, fauteuils et supports simil. d'examen ou de traitement, ainsi que tous les parties et accessoires des appareils du n° 9022, n.d")</f>
        <v>Dispositifs générateurs de rayons X, autres que tubes à rayons X, générateurs de tension, pupitres de commande, écrans, tables, fauteuils et supports simil. d'examen ou de traitement, ainsi que tous les parties et accessoires des appareils du n° 9022, n.d</v>
      </c>
    </row>
    <row r="1741" spans="1:4" x14ac:dyDescent="0.25">
      <c r="A1741" t="str">
        <f>T("   ZZZ_Monde")</f>
        <v xml:space="preserve">   ZZZ_Monde</v>
      </c>
      <c r="B1741" t="str">
        <f>T("   ZZZ_Monde")</f>
        <v xml:space="preserve">   ZZZ_Monde</v>
      </c>
      <c r="C1741">
        <v>2750000</v>
      </c>
      <c r="D1741">
        <v>195</v>
      </c>
    </row>
    <row r="1742" spans="1:4" x14ac:dyDescent="0.25">
      <c r="A1742" t="str">
        <f>T("   CI")</f>
        <v xml:space="preserve">   CI</v>
      </c>
      <c r="B1742" t="str">
        <f>T("   Côte d'Ivoire")</f>
        <v xml:space="preserve">   Côte d'Ivoire</v>
      </c>
      <c r="C1742">
        <v>2750000</v>
      </c>
      <c r="D1742">
        <v>195</v>
      </c>
    </row>
    <row r="1743" spans="1:4" x14ac:dyDescent="0.25">
      <c r="A1743" t="str">
        <f>T("903110")</f>
        <v>903110</v>
      </c>
      <c r="B1743" t="str">
        <f>T("Machines à équilibrer les pièces mécaniques")</f>
        <v>Machines à équilibrer les pièces mécaniques</v>
      </c>
    </row>
    <row r="1744" spans="1:4" x14ac:dyDescent="0.25">
      <c r="A1744" t="str">
        <f>T("   ZZZ_Monde")</f>
        <v xml:space="preserve">   ZZZ_Monde</v>
      </c>
      <c r="B1744" t="str">
        <f>T("   ZZZ_Monde")</f>
        <v xml:space="preserve">   ZZZ_Monde</v>
      </c>
      <c r="C1744">
        <v>1725000</v>
      </c>
      <c r="D1744">
        <v>2000</v>
      </c>
    </row>
    <row r="1745" spans="1:4" x14ac:dyDescent="0.25">
      <c r="A1745" t="str">
        <f>T("   GN")</f>
        <v xml:space="preserve">   GN</v>
      </c>
      <c r="B1745" t="str">
        <f>T("   Guinée")</f>
        <v xml:space="preserve">   Guinée</v>
      </c>
      <c r="C1745">
        <v>1725000</v>
      </c>
      <c r="D1745">
        <v>2000</v>
      </c>
    </row>
    <row r="1746" spans="1:4" x14ac:dyDescent="0.25">
      <c r="A1746" t="str">
        <f>T("940169")</f>
        <v>940169</v>
      </c>
      <c r="B1746" t="str">
        <f>T("Sièges, avec bâti en bois, non rembourrés")</f>
        <v>Sièges, avec bâti en bois, non rembourrés</v>
      </c>
    </row>
    <row r="1747" spans="1:4" x14ac:dyDescent="0.25">
      <c r="A1747" t="str">
        <f>T("   ZZZ_Monde")</f>
        <v xml:space="preserve">   ZZZ_Monde</v>
      </c>
      <c r="B1747" t="str">
        <f>T("   ZZZ_Monde")</f>
        <v xml:space="preserve">   ZZZ_Monde</v>
      </c>
      <c r="C1747">
        <v>1135000</v>
      </c>
      <c r="D1747">
        <v>1500</v>
      </c>
    </row>
    <row r="1748" spans="1:4" x14ac:dyDescent="0.25">
      <c r="A1748" t="str">
        <f>T("   CM")</f>
        <v xml:space="preserve">   CM</v>
      </c>
      <c r="B1748" t="str">
        <f>T("   Cameroun")</f>
        <v xml:space="preserve">   Cameroun</v>
      </c>
      <c r="C1748">
        <v>1135000</v>
      </c>
      <c r="D1748">
        <v>1500</v>
      </c>
    </row>
    <row r="1749" spans="1:4" x14ac:dyDescent="0.25">
      <c r="A1749" t="str">
        <f>T("940180")</f>
        <v>940180</v>
      </c>
      <c r="B1749" t="str">
        <f>T("Sièges, n.d.a.")</f>
        <v>Sièges, n.d.a.</v>
      </c>
    </row>
    <row r="1750" spans="1:4" x14ac:dyDescent="0.25">
      <c r="A1750" t="str">
        <f>T("   ZZZ_Monde")</f>
        <v xml:space="preserve">   ZZZ_Monde</v>
      </c>
      <c r="B1750" t="str">
        <f>T("   ZZZ_Monde")</f>
        <v xml:space="preserve">   ZZZ_Monde</v>
      </c>
      <c r="C1750">
        <v>14152900</v>
      </c>
      <c r="D1750">
        <v>10730</v>
      </c>
    </row>
    <row r="1751" spans="1:4" x14ac:dyDescent="0.25">
      <c r="A1751" t="str">
        <f>T("   TG")</f>
        <v xml:space="preserve">   TG</v>
      </c>
      <c r="B1751" t="str">
        <f>T("   Togo")</f>
        <v xml:space="preserve">   Togo</v>
      </c>
      <c r="C1751">
        <v>14152900</v>
      </c>
      <c r="D1751">
        <v>10730</v>
      </c>
    </row>
    <row r="1752" spans="1:4" x14ac:dyDescent="0.25">
      <c r="A1752" t="str">
        <f>T("940320")</f>
        <v>940320</v>
      </c>
      <c r="B1752" t="str">
        <f>T("Meubles en métal, sauf meubles de bureau, sièges et mobilier pour la médecine, la chirurgie, l'art dentaire ou vétérinaire")</f>
        <v>Meubles en métal, sauf meubles de bureau, sièges et mobilier pour la médecine, la chirurgie, l'art dentaire ou vétérinaire</v>
      </c>
    </row>
    <row r="1753" spans="1:4" x14ac:dyDescent="0.25">
      <c r="A1753" t="str">
        <f>T("   ZZZ_Monde")</f>
        <v xml:space="preserve">   ZZZ_Monde</v>
      </c>
      <c r="B1753" t="str">
        <f>T("   ZZZ_Monde")</f>
        <v xml:space="preserve">   ZZZ_Monde</v>
      </c>
      <c r="C1753">
        <v>10410741</v>
      </c>
      <c r="D1753">
        <v>4615</v>
      </c>
    </row>
    <row r="1754" spans="1:4" x14ac:dyDescent="0.25">
      <c r="A1754" t="str">
        <f>T("   CN")</f>
        <v xml:space="preserve">   CN</v>
      </c>
      <c r="B1754" t="str">
        <f>T("   Chine")</f>
        <v xml:space="preserve">   Chine</v>
      </c>
      <c r="C1754">
        <v>10410741</v>
      </c>
      <c r="D1754">
        <v>4615</v>
      </c>
    </row>
    <row r="1755" spans="1:4" x14ac:dyDescent="0.25">
      <c r="A1755" t="str">
        <f>T("940330")</f>
        <v>940330</v>
      </c>
      <c r="B1755" t="str">
        <f>T("Meubles de bureau en bois (sauf sièges)")</f>
        <v>Meubles de bureau en bois (sauf sièges)</v>
      </c>
    </row>
    <row r="1756" spans="1:4" x14ac:dyDescent="0.25">
      <c r="A1756" t="str">
        <f>T("   ZZZ_Monde")</f>
        <v xml:space="preserve">   ZZZ_Monde</v>
      </c>
      <c r="B1756" t="str">
        <f>T("   ZZZ_Monde")</f>
        <v xml:space="preserve">   ZZZ_Monde</v>
      </c>
      <c r="C1756">
        <v>1622000</v>
      </c>
      <c r="D1756">
        <v>2300</v>
      </c>
    </row>
    <row r="1757" spans="1:4" x14ac:dyDescent="0.25">
      <c r="A1757" t="str">
        <f>T("   NL")</f>
        <v xml:space="preserve">   NL</v>
      </c>
      <c r="B1757" t="str">
        <f>T("   Pays-bas")</f>
        <v xml:space="preserve">   Pays-bas</v>
      </c>
      <c r="C1757">
        <v>1622000</v>
      </c>
      <c r="D1757">
        <v>2300</v>
      </c>
    </row>
    <row r="1758" spans="1:4" x14ac:dyDescent="0.25">
      <c r="A1758" t="str">
        <f>T("940350")</f>
        <v>940350</v>
      </c>
      <c r="B1758" t="str">
        <f>T("Meubles pour chambres à coucher, en bois (sauf sièges)")</f>
        <v>Meubles pour chambres à coucher, en bois (sauf sièges)</v>
      </c>
    </row>
    <row r="1759" spans="1:4" x14ac:dyDescent="0.25">
      <c r="A1759" t="str">
        <f>T("   ZZZ_Monde")</f>
        <v xml:space="preserve">   ZZZ_Monde</v>
      </c>
      <c r="B1759" t="str">
        <f>T("   ZZZ_Monde")</f>
        <v xml:space="preserve">   ZZZ_Monde</v>
      </c>
      <c r="C1759">
        <v>113891177</v>
      </c>
      <c r="D1759">
        <v>138012</v>
      </c>
    </row>
    <row r="1760" spans="1:4" x14ac:dyDescent="0.25">
      <c r="A1760" t="str">
        <f>T("   AM")</f>
        <v xml:space="preserve">   AM</v>
      </c>
      <c r="B1760" t="str">
        <f>T("   Arménie")</f>
        <v xml:space="preserve">   Arménie</v>
      </c>
      <c r="C1760">
        <v>1000000</v>
      </c>
      <c r="D1760">
        <v>1200</v>
      </c>
    </row>
    <row r="1761" spans="1:4" x14ac:dyDescent="0.25">
      <c r="A1761" t="str">
        <f>T("   BD")</f>
        <v xml:space="preserve">   BD</v>
      </c>
      <c r="B1761" t="str">
        <f>T("   Bangladesh")</f>
        <v xml:space="preserve">   Bangladesh</v>
      </c>
      <c r="C1761">
        <v>750000</v>
      </c>
      <c r="D1761">
        <v>1200</v>
      </c>
    </row>
    <row r="1762" spans="1:4" x14ac:dyDescent="0.25">
      <c r="A1762" t="str">
        <f>T("   BE")</f>
        <v xml:space="preserve">   BE</v>
      </c>
      <c r="B1762" t="str">
        <f>T("   Belgique")</f>
        <v xml:space="preserve">   Belgique</v>
      </c>
      <c r="C1762">
        <v>4750000</v>
      </c>
      <c r="D1762">
        <v>5889</v>
      </c>
    </row>
    <row r="1763" spans="1:4" x14ac:dyDescent="0.25">
      <c r="A1763" t="str">
        <f>T("   BG")</f>
        <v xml:space="preserve">   BG</v>
      </c>
      <c r="B1763" t="str">
        <f>T("   Bulgarie")</f>
        <v xml:space="preserve">   Bulgarie</v>
      </c>
      <c r="C1763">
        <v>1400000</v>
      </c>
      <c r="D1763">
        <v>1200</v>
      </c>
    </row>
    <row r="1764" spans="1:4" x14ac:dyDescent="0.25">
      <c r="A1764" t="str">
        <f>T("   BI")</f>
        <v xml:space="preserve">   BI</v>
      </c>
      <c r="B1764" t="str">
        <f>T("   Burundi")</f>
        <v xml:space="preserve">   Burundi</v>
      </c>
      <c r="C1764">
        <v>5172416</v>
      </c>
      <c r="D1764">
        <v>8700</v>
      </c>
    </row>
    <row r="1765" spans="1:4" x14ac:dyDescent="0.25">
      <c r="A1765" t="str">
        <f>T("   CD")</f>
        <v xml:space="preserve">   CD</v>
      </c>
      <c r="B1765" t="str">
        <f>T("   Congo, République Démocratique")</f>
        <v xml:space="preserve">   Congo, République Démocratique</v>
      </c>
      <c r="C1765">
        <v>1200000</v>
      </c>
      <c r="D1765">
        <v>1500</v>
      </c>
    </row>
    <row r="1766" spans="1:4" x14ac:dyDescent="0.25">
      <c r="A1766" t="str">
        <f>T("   CG")</f>
        <v xml:space="preserve">   CG</v>
      </c>
      <c r="B1766" t="str">
        <f>T("   Congo (Brazzaville)")</f>
        <v xml:space="preserve">   Congo (Brazzaville)</v>
      </c>
      <c r="C1766">
        <v>1200000</v>
      </c>
      <c r="D1766">
        <v>2500</v>
      </c>
    </row>
    <row r="1767" spans="1:4" x14ac:dyDescent="0.25">
      <c r="A1767" t="str">
        <f>T("   CH")</f>
        <v xml:space="preserve">   CH</v>
      </c>
      <c r="B1767" t="str">
        <f>T("   Suisse")</f>
        <v xml:space="preserve">   Suisse</v>
      </c>
      <c r="C1767">
        <v>6407418</v>
      </c>
      <c r="D1767">
        <v>1200</v>
      </c>
    </row>
    <row r="1768" spans="1:4" x14ac:dyDescent="0.25">
      <c r="A1768" t="str">
        <f>T("   CI")</f>
        <v xml:space="preserve">   CI</v>
      </c>
      <c r="B1768" t="str">
        <f>T("   Côte d'Ivoire")</f>
        <v xml:space="preserve">   Côte d'Ivoire</v>
      </c>
      <c r="C1768">
        <v>7600000</v>
      </c>
      <c r="D1768">
        <v>9769</v>
      </c>
    </row>
    <row r="1769" spans="1:4" x14ac:dyDescent="0.25">
      <c r="A1769" t="str">
        <f>T("   CM")</f>
        <v xml:space="preserve">   CM</v>
      </c>
      <c r="B1769" t="str">
        <f>T("   Cameroun")</f>
        <v xml:space="preserve">   Cameroun</v>
      </c>
      <c r="C1769">
        <v>8212000</v>
      </c>
      <c r="D1769">
        <v>2400</v>
      </c>
    </row>
    <row r="1770" spans="1:4" x14ac:dyDescent="0.25">
      <c r="A1770" t="str">
        <f>T("   DE")</f>
        <v xml:space="preserve">   DE</v>
      </c>
      <c r="B1770" t="str">
        <f>T("   Allemagne")</f>
        <v xml:space="preserve">   Allemagne</v>
      </c>
      <c r="C1770">
        <v>2000000</v>
      </c>
      <c r="D1770">
        <v>2200</v>
      </c>
    </row>
    <row r="1771" spans="1:4" x14ac:dyDescent="0.25">
      <c r="A1771" t="str">
        <f>T("   DK")</f>
        <v xml:space="preserve">   DK</v>
      </c>
      <c r="B1771" t="str">
        <f>T("   Danemark")</f>
        <v xml:space="preserve">   Danemark</v>
      </c>
      <c r="C1771">
        <v>2000000</v>
      </c>
      <c r="D1771">
        <v>2300</v>
      </c>
    </row>
    <row r="1772" spans="1:4" x14ac:dyDescent="0.25">
      <c r="A1772" t="str">
        <f>T("   EG")</f>
        <v xml:space="preserve">   EG</v>
      </c>
      <c r="B1772" t="str">
        <f>T("   Egypte")</f>
        <v xml:space="preserve">   Egypte</v>
      </c>
      <c r="C1772">
        <v>1000000</v>
      </c>
      <c r="D1772">
        <v>1200</v>
      </c>
    </row>
    <row r="1773" spans="1:4" x14ac:dyDescent="0.25">
      <c r="A1773" t="str">
        <f>T("   ES")</f>
        <v xml:space="preserve">   ES</v>
      </c>
      <c r="B1773" t="str">
        <f>T("   Espagne")</f>
        <v xml:space="preserve">   Espagne</v>
      </c>
      <c r="C1773">
        <v>2009000</v>
      </c>
      <c r="D1773">
        <v>1500</v>
      </c>
    </row>
    <row r="1774" spans="1:4" x14ac:dyDescent="0.25">
      <c r="A1774" t="str">
        <f>T("   FR")</f>
        <v xml:space="preserve">   FR</v>
      </c>
      <c r="B1774" t="str">
        <f>T("   France")</f>
        <v xml:space="preserve">   France</v>
      </c>
      <c r="C1774">
        <v>14950000</v>
      </c>
      <c r="D1774">
        <v>21150</v>
      </c>
    </row>
    <row r="1775" spans="1:4" x14ac:dyDescent="0.25">
      <c r="A1775" t="str">
        <f>T("   GA")</f>
        <v xml:space="preserve">   GA</v>
      </c>
      <c r="B1775" t="str">
        <f>T("   Gabon")</f>
        <v xml:space="preserve">   Gabon</v>
      </c>
      <c r="C1775">
        <v>4004000</v>
      </c>
      <c r="D1775">
        <v>2525</v>
      </c>
    </row>
    <row r="1776" spans="1:4" x14ac:dyDescent="0.25">
      <c r="A1776" t="str">
        <f>T("   GB")</f>
        <v xml:space="preserve">   GB</v>
      </c>
      <c r="B1776" t="str">
        <f>T("   Royaume-Uni")</f>
        <v xml:space="preserve">   Royaume-Uni</v>
      </c>
      <c r="C1776">
        <v>1935742</v>
      </c>
      <c r="D1776">
        <v>2600</v>
      </c>
    </row>
    <row r="1777" spans="1:4" x14ac:dyDescent="0.25">
      <c r="A1777" t="str">
        <f>T("   GN")</f>
        <v xml:space="preserve">   GN</v>
      </c>
      <c r="B1777" t="str">
        <f>T("   Guinée")</f>
        <v xml:space="preserve">   Guinée</v>
      </c>
      <c r="C1777">
        <v>3200000</v>
      </c>
      <c r="D1777">
        <v>5500</v>
      </c>
    </row>
    <row r="1778" spans="1:4" x14ac:dyDescent="0.25">
      <c r="A1778" t="str">
        <f>T("   HT")</f>
        <v xml:space="preserve">   HT</v>
      </c>
      <c r="B1778" t="str">
        <f>T("   Haïti")</f>
        <v xml:space="preserve">   Haïti</v>
      </c>
      <c r="C1778">
        <v>3489106</v>
      </c>
      <c r="D1778">
        <v>6700</v>
      </c>
    </row>
    <row r="1779" spans="1:4" x14ac:dyDescent="0.25">
      <c r="A1779" t="str">
        <f>T("   ID")</f>
        <v xml:space="preserve">   ID</v>
      </c>
      <c r="B1779" t="str">
        <f>T("   Indonésie")</f>
        <v xml:space="preserve">   Indonésie</v>
      </c>
      <c r="C1779">
        <v>800000</v>
      </c>
      <c r="D1779">
        <v>1200</v>
      </c>
    </row>
    <row r="1780" spans="1:4" x14ac:dyDescent="0.25">
      <c r="A1780" t="str">
        <f>T("   IN")</f>
        <v xml:space="preserve">   IN</v>
      </c>
      <c r="B1780" t="str">
        <f>T("   Inde")</f>
        <v xml:space="preserve">   Inde</v>
      </c>
      <c r="C1780">
        <v>1990675</v>
      </c>
      <c r="D1780">
        <v>7500</v>
      </c>
    </row>
    <row r="1781" spans="1:4" x14ac:dyDescent="0.25">
      <c r="A1781" t="str">
        <f>T("   KE")</f>
        <v xml:space="preserve">   KE</v>
      </c>
      <c r="B1781" t="str">
        <f>T("   Kenya")</f>
        <v xml:space="preserve">   Kenya</v>
      </c>
      <c r="C1781">
        <v>3850000</v>
      </c>
      <c r="D1781">
        <v>5200</v>
      </c>
    </row>
    <row r="1782" spans="1:4" x14ac:dyDescent="0.25">
      <c r="A1782" t="str">
        <f>T("   KH")</f>
        <v xml:space="preserve">   KH</v>
      </c>
      <c r="B1782" t="str">
        <f>T("   Cambodge")</f>
        <v xml:space="preserve">   Cambodge</v>
      </c>
      <c r="C1782">
        <v>800000</v>
      </c>
      <c r="D1782">
        <v>1200</v>
      </c>
    </row>
    <row r="1783" spans="1:4" x14ac:dyDescent="0.25">
      <c r="A1783" t="str">
        <f>T("   LB")</f>
        <v xml:space="preserve">   LB</v>
      </c>
      <c r="B1783" t="str">
        <f>T("   Liban")</f>
        <v xml:space="preserve">   Liban</v>
      </c>
      <c r="C1783">
        <v>2000000</v>
      </c>
      <c r="D1783">
        <v>2500</v>
      </c>
    </row>
    <row r="1784" spans="1:4" x14ac:dyDescent="0.25">
      <c r="A1784" t="str">
        <f>T("   LY")</f>
        <v xml:space="preserve">   LY</v>
      </c>
      <c r="B1784" t="str">
        <f>T("   Libyenne, Jamahiriya Arabe")</f>
        <v xml:space="preserve">   Libyenne, Jamahiriya Arabe</v>
      </c>
      <c r="C1784">
        <v>1500000</v>
      </c>
      <c r="D1784">
        <v>800</v>
      </c>
    </row>
    <row r="1785" spans="1:4" x14ac:dyDescent="0.25">
      <c r="A1785" t="str">
        <f>T("   MG")</f>
        <v xml:space="preserve">   MG</v>
      </c>
      <c r="B1785" t="str">
        <f>T("   Madagascar")</f>
        <v xml:space="preserve">   Madagascar</v>
      </c>
      <c r="C1785">
        <v>1200000</v>
      </c>
      <c r="D1785">
        <v>1500</v>
      </c>
    </row>
    <row r="1786" spans="1:4" x14ac:dyDescent="0.25">
      <c r="A1786" t="str">
        <f>T("   MX")</f>
        <v xml:space="preserve">   MX</v>
      </c>
      <c r="B1786" t="str">
        <f>T("   Mexique")</f>
        <v xml:space="preserve">   Mexique</v>
      </c>
      <c r="C1786">
        <v>2000000</v>
      </c>
      <c r="D1786">
        <v>629</v>
      </c>
    </row>
    <row r="1787" spans="1:4" x14ac:dyDescent="0.25">
      <c r="A1787" t="str">
        <f>T("   NE")</f>
        <v xml:space="preserve">   NE</v>
      </c>
      <c r="B1787" t="str">
        <f>T("   Niger")</f>
        <v xml:space="preserve">   Niger</v>
      </c>
      <c r="C1787">
        <v>7470820</v>
      </c>
      <c r="D1787">
        <v>8000</v>
      </c>
    </row>
    <row r="1788" spans="1:4" x14ac:dyDescent="0.25">
      <c r="A1788" t="str">
        <f>T("   NL")</f>
        <v xml:space="preserve">   NL</v>
      </c>
      <c r="B1788" t="str">
        <f>T("   Pays-bas")</f>
        <v xml:space="preserve">   Pays-bas</v>
      </c>
      <c r="C1788">
        <v>1900000</v>
      </c>
      <c r="D1788">
        <v>3700</v>
      </c>
    </row>
    <row r="1789" spans="1:4" x14ac:dyDescent="0.25">
      <c r="A1789" t="str">
        <f>T("   SD")</f>
        <v xml:space="preserve">   SD</v>
      </c>
      <c r="B1789" t="str">
        <f>T("   Soudan")</f>
        <v xml:space="preserve">   Soudan</v>
      </c>
      <c r="C1789">
        <v>1580000</v>
      </c>
      <c r="D1789">
        <v>1800</v>
      </c>
    </row>
    <row r="1790" spans="1:4" x14ac:dyDescent="0.25">
      <c r="A1790" t="str">
        <f>T("   SN")</f>
        <v xml:space="preserve">   SN</v>
      </c>
      <c r="B1790" t="str">
        <f>T("   Sénégal")</f>
        <v xml:space="preserve">   Sénégal</v>
      </c>
      <c r="C1790">
        <v>9320000</v>
      </c>
      <c r="D1790">
        <v>12850</v>
      </c>
    </row>
    <row r="1791" spans="1:4" x14ac:dyDescent="0.25">
      <c r="A1791" t="str">
        <f>T("   TG")</f>
        <v xml:space="preserve">   TG</v>
      </c>
      <c r="B1791" t="str">
        <f>T("   Togo")</f>
        <v xml:space="preserve">   Togo</v>
      </c>
      <c r="C1791">
        <v>2300000</v>
      </c>
      <c r="D1791">
        <v>3000</v>
      </c>
    </row>
    <row r="1792" spans="1:4" x14ac:dyDescent="0.25">
      <c r="A1792" t="str">
        <f>T("   TN")</f>
        <v xml:space="preserve">   TN</v>
      </c>
      <c r="B1792" t="str">
        <f>T("   Tunisie")</f>
        <v xml:space="preserve">   Tunisie</v>
      </c>
      <c r="C1792">
        <v>1000000</v>
      </c>
      <c r="D1792">
        <v>2500</v>
      </c>
    </row>
    <row r="1793" spans="1:4" x14ac:dyDescent="0.25">
      <c r="A1793" t="str">
        <f>T("   US")</f>
        <v xml:space="preserve">   US</v>
      </c>
      <c r="B1793" t="str">
        <f>T("   Etats-Unis")</f>
        <v xml:space="preserve">   Etats-Unis</v>
      </c>
      <c r="C1793">
        <v>700000</v>
      </c>
      <c r="D1793">
        <v>1200</v>
      </c>
    </row>
    <row r="1794" spans="1:4" x14ac:dyDescent="0.25">
      <c r="A1794" t="str">
        <f>T("   ZA")</f>
        <v xml:space="preserve">   ZA</v>
      </c>
      <c r="B1794" t="str">
        <f>T("   Afrique du Sud")</f>
        <v xml:space="preserve">   Afrique du Sud</v>
      </c>
      <c r="C1794">
        <v>3200000</v>
      </c>
      <c r="D1794">
        <v>3200</v>
      </c>
    </row>
    <row r="1795" spans="1:4" x14ac:dyDescent="0.25">
      <c r="A1795" t="str">
        <f>T("940360")</f>
        <v>940360</v>
      </c>
      <c r="B1795" t="str">
        <f>T("Meubles en bois (autres que pour bureaux, cuisines ou chambres à coucher et autres que sièges)")</f>
        <v>Meubles en bois (autres que pour bureaux, cuisines ou chambres à coucher et autres que sièges)</v>
      </c>
    </row>
    <row r="1796" spans="1:4" x14ac:dyDescent="0.25">
      <c r="A1796" t="str">
        <f>T("   ZZZ_Monde")</f>
        <v xml:space="preserve">   ZZZ_Monde</v>
      </c>
      <c r="B1796" t="str">
        <f>T("   ZZZ_Monde")</f>
        <v xml:space="preserve">   ZZZ_Monde</v>
      </c>
      <c r="C1796">
        <v>118091862</v>
      </c>
      <c r="D1796">
        <v>43810</v>
      </c>
    </row>
    <row r="1797" spans="1:4" x14ac:dyDescent="0.25">
      <c r="A1797" t="str">
        <f>T("   CD")</f>
        <v xml:space="preserve">   CD</v>
      </c>
      <c r="B1797" t="str">
        <f>T("   Congo, République Démocratique")</f>
        <v xml:space="preserve">   Congo, République Démocratique</v>
      </c>
      <c r="C1797">
        <v>5199459</v>
      </c>
      <c r="D1797">
        <v>10400</v>
      </c>
    </row>
    <row r="1798" spans="1:4" x14ac:dyDescent="0.25">
      <c r="A1798" t="str">
        <f>T("   CI")</f>
        <v xml:space="preserve">   CI</v>
      </c>
      <c r="B1798" t="str">
        <f>T("   Côte d'Ivoire")</f>
        <v xml:space="preserve">   Côte d'Ivoire</v>
      </c>
      <c r="C1798">
        <v>5914003</v>
      </c>
      <c r="D1798">
        <v>5000</v>
      </c>
    </row>
    <row r="1799" spans="1:4" x14ac:dyDescent="0.25">
      <c r="A1799" t="str">
        <f>T("   CM")</f>
        <v xml:space="preserve">   CM</v>
      </c>
      <c r="B1799" t="str">
        <f>T("   Cameroun")</f>
        <v xml:space="preserve">   Cameroun</v>
      </c>
      <c r="C1799">
        <v>1698400</v>
      </c>
      <c r="D1799">
        <v>2300</v>
      </c>
    </row>
    <row r="1800" spans="1:4" x14ac:dyDescent="0.25">
      <c r="A1800" t="str">
        <f>T("   FR")</f>
        <v xml:space="preserve">   FR</v>
      </c>
      <c r="B1800" t="str">
        <f>T("   France")</f>
        <v xml:space="preserve">   France</v>
      </c>
      <c r="C1800">
        <v>13000000</v>
      </c>
      <c r="D1800">
        <v>7150</v>
      </c>
    </row>
    <row r="1801" spans="1:4" x14ac:dyDescent="0.25">
      <c r="A1801" t="str">
        <f>T("   GH")</f>
        <v xml:space="preserve">   GH</v>
      </c>
      <c r="B1801" t="str">
        <f>T("   Ghana")</f>
        <v xml:space="preserve">   Ghana</v>
      </c>
      <c r="C1801">
        <v>2050000</v>
      </c>
      <c r="D1801">
        <v>4050</v>
      </c>
    </row>
    <row r="1802" spans="1:4" x14ac:dyDescent="0.25">
      <c r="A1802" t="str">
        <f>T("   SL")</f>
        <v xml:space="preserve">   SL</v>
      </c>
      <c r="B1802" t="str">
        <f>T("   Sierra Leone")</f>
        <v xml:space="preserve">   Sierra Leone</v>
      </c>
      <c r="C1802">
        <v>2000000</v>
      </c>
      <c r="D1802">
        <v>1500</v>
      </c>
    </row>
    <row r="1803" spans="1:4" x14ac:dyDescent="0.25">
      <c r="A1803" t="str">
        <f>T("   SN")</f>
        <v xml:space="preserve">   SN</v>
      </c>
      <c r="B1803" t="str">
        <f>T("   Sénégal")</f>
        <v xml:space="preserve">   Sénégal</v>
      </c>
      <c r="C1803">
        <v>1000000</v>
      </c>
      <c r="D1803">
        <v>1900</v>
      </c>
    </row>
    <row r="1804" spans="1:4" x14ac:dyDescent="0.25">
      <c r="A1804" t="str">
        <f>T("   TG")</f>
        <v xml:space="preserve">   TG</v>
      </c>
      <c r="B1804" t="str">
        <f>T("   Togo")</f>
        <v xml:space="preserve">   Togo</v>
      </c>
      <c r="C1804">
        <v>7000000</v>
      </c>
      <c r="D1804">
        <v>2750</v>
      </c>
    </row>
    <row r="1805" spans="1:4" x14ac:dyDescent="0.25">
      <c r="A1805" t="str">
        <f>T("   US")</f>
        <v xml:space="preserve">   US</v>
      </c>
      <c r="B1805" t="str">
        <f>T("   Etats-Unis")</f>
        <v xml:space="preserve">   Etats-Unis</v>
      </c>
      <c r="C1805">
        <v>80230000</v>
      </c>
      <c r="D1805">
        <v>8760</v>
      </c>
    </row>
    <row r="1806" spans="1:4" x14ac:dyDescent="0.25">
      <c r="A1806" t="str">
        <f>T("940370")</f>
        <v>940370</v>
      </c>
      <c r="B1806" t="str">
        <f>T("Meubles en matières plastiques (autres que pour la médecine, l'art dentaire et vétérinaire, la chirurgie et autres que sièges)")</f>
        <v>Meubles en matières plastiques (autres que pour la médecine, l'art dentaire et vétérinaire, la chirurgie et autres que sièges)</v>
      </c>
    </row>
    <row r="1807" spans="1:4" x14ac:dyDescent="0.25">
      <c r="A1807" t="str">
        <f>T("   ZZZ_Monde")</f>
        <v xml:space="preserve">   ZZZ_Monde</v>
      </c>
      <c r="B1807" t="str">
        <f>T("   ZZZ_Monde")</f>
        <v xml:space="preserve">   ZZZ_Monde</v>
      </c>
      <c r="C1807">
        <v>79449250</v>
      </c>
      <c r="D1807">
        <v>61250</v>
      </c>
    </row>
    <row r="1808" spans="1:4" x14ac:dyDescent="0.25">
      <c r="A1808" t="str">
        <f>T("   TG")</f>
        <v xml:space="preserve">   TG</v>
      </c>
      <c r="B1808" t="str">
        <f>T("   Togo")</f>
        <v xml:space="preserve">   Togo</v>
      </c>
      <c r="C1808">
        <v>79449250</v>
      </c>
      <c r="D1808">
        <v>61250</v>
      </c>
    </row>
    <row r="1809" spans="1:4" x14ac:dyDescent="0.25">
      <c r="A1809" t="str">
        <f>T("940381")</f>
        <v>940381</v>
      </c>
      <c r="B1809" t="str">
        <f>T("MEUBLES EN BAMBOU OU EN ROTIN (À L'EXCL. DES SIÈGES ET MOBILIER POUR LA MÉDECINE, L'ART DENTAIRE ET VÉTÉRINAIRE OU LA CHIRURGIE)")</f>
        <v>MEUBLES EN BAMBOU OU EN ROTIN (À L'EXCL. DES SIÈGES ET MOBILIER POUR LA MÉDECINE, L'ART DENTAIRE ET VÉTÉRINAIRE OU LA CHIRURGIE)</v>
      </c>
    </row>
    <row r="1810" spans="1:4" x14ac:dyDescent="0.25">
      <c r="A1810" t="str">
        <f>T("   ZZZ_Monde")</f>
        <v xml:space="preserve">   ZZZ_Monde</v>
      </c>
      <c r="B1810" t="str">
        <f>T("   ZZZ_Monde")</f>
        <v xml:space="preserve">   ZZZ_Monde</v>
      </c>
      <c r="C1810">
        <v>6000000</v>
      </c>
      <c r="D1810">
        <v>7300</v>
      </c>
    </row>
    <row r="1811" spans="1:4" x14ac:dyDescent="0.25">
      <c r="A1811" t="str">
        <f>T("   FR")</f>
        <v xml:space="preserve">   FR</v>
      </c>
      <c r="B1811" t="str">
        <f>T("   France")</f>
        <v xml:space="preserve">   France</v>
      </c>
      <c r="C1811">
        <v>4000000</v>
      </c>
      <c r="D1811">
        <v>4900</v>
      </c>
    </row>
    <row r="1812" spans="1:4" x14ac:dyDescent="0.25">
      <c r="A1812" t="str">
        <f>T("   SN")</f>
        <v xml:space="preserve">   SN</v>
      </c>
      <c r="B1812" t="str">
        <f>T("   Sénégal")</f>
        <v xml:space="preserve">   Sénégal</v>
      </c>
      <c r="C1812">
        <v>2000000</v>
      </c>
      <c r="D1812">
        <v>2400</v>
      </c>
    </row>
    <row r="1813" spans="1:4" x14ac:dyDescent="0.25">
      <c r="A1813" t="str">
        <f>T("940389")</f>
        <v>940389</v>
      </c>
      <c r="B1813" t="str">
        <f>T("MEUBLES EN OSIER OU EN MATIÈRES SIMIL. (SAUF EN BAMBOU, ROTIN, MÉTAL, BOIS ET MATIÈRES PLASTIQUES AINSI QUE SIÈGES ET MOBILIER POUR LA MÉDECINE, L'ART DENTAIRE ET VÉTÉRINAIRE OU LA CHIRURGIE)")</f>
        <v>MEUBLES EN OSIER OU EN MATIÈRES SIMIL. (SAUF EN BAMBOU, ROTIN, MÉTAL, BOIS ET MATIÈRES PLASTIQUES AINSI QUE SIÈGES ET MOBILIER POUR LA MÉDECINE, L'ART DENTAIRE ET VÉTÉRINAIRE OU LA CHIRURGIE)</v>
      </c>
    </row>
    <row r="1814" spans="1:4" x14ac:dyDescent="0.25">
      <c r="A1814" t="str">
        <f>T("   ZZZ_Monde")</f>
        <v xml:space="preserve">   ZZZ_Monde</v>
      </c>
      <c r="B1814" t="str">
        <f>T("   ZZZ_Monde")</f>
        <v xml:space="preserve">   ZZZ_Monde</v>
      </c>
      <c r="C1814">
        <v>73596034</v>
      </c>
      <c r="D1814">
        <v>155660</v>
      </c>
    </row>
    <row r="1815" spans="1:4" x14ac:dyDescent="0.25">
      <c r="A1815" t="str">
        <f>T("   BE")</f>
        <v xml:space="preserve">   BE</v>
      </c>
      <c r="B1815" t="str">
        <f>T("   Belgique")</f>
        <v xml:space="preserve">   Belgique</v>
      </c>
      <c r="C1815">
        <v>1500000</v>
      </c>
      <c r="D1815">
        <v>20000</v>
      </c>
    </row>
    <row r="1816" spans="1:4" x14ac:dyDescent="0.25">
      <c r="A1816" t="str">
        <f>T("   CD")</f>
        <v xml:space="preserve">   CD</v>
      </c>
      <c r="B1816" t="str">
        <f>T("   Congo, République Démocratique")</f>
        <v xml:space="preserve">   Congo, République Démocratique</v>
      </c>
      <c r="C1816">
        <v>5000000</v>
      </c>
      <c r="D1816">
        <v>15000</v>
      </c>
    </row>
    <row r="1817" spans="1:4" x14ac:dyDescent="0.25">
      <c r="A1817" t="str">
        <f>T("   CM")</f>
        <v xml:space="preserve">   CM</v>
      </c>
      <c r="B1817" t="str">
        <f>T("   Cameroun")</f>
        <v xml:space="preserve">   Cameroun</v>
      </c>
      <c r="C1817">
        <v>20059234</v>
      </c>
      <c r="D1817">
        <v>2340</v>
      </c>
    </row>
    <row r="1818" spans="1:4" x14ac:dyDescent="0.25">
      <c r="A1818" t="str">
        <f>T("   FR")</f>
        <v xml:space="preserve">   FR</v>
      </c>
      <c r="B1818" t="str">
        <f>T("   France")</f>
        <v xml:space="preserve">   France</v>
      </c>
      <c r="C1818">
        <v>2000000</v>
      </c>
      <c r="D1818">
        <v>40000</v>
      </c>
    </row>
    <row r="1819" spans="1:4" x14ac:dyDescent="0.25">
      <c r="A1819" t="str">
        <f>T("   GA")</f>
        <v xml:space="preserve">   GA</v>
      </c>
      <c r="B1819" t="str">
        <f>T("   Gabon")</f>
        <v xml:space="preserve">   Gabon</v>
      </c>
      <c r="C1819">
        <v>4000000</v>
      </c>
      <c r="D1819">
        <v>14000</v>
      </c>
    </row>
    <row r="1820" spans="1:4" x14ac:dyDescent="0.25">
      <c r="A1820" t="str">
        <f>T("   MG")</f>
        <v xml:space="preserve">   MG</v>
      </c>
      <c r="B1820" t="str">
        <f>T("   Madagascar")</f>
        <v xml:space="preserve">   Madagascar</v>
      </c>
      <c r="C1820">
        <v>500000</v>
      </c>
      <c r="D1820">
        <v>10000</v>
      </c>
    </row>
    <row r="1821" spans="1:4" x14ac:dyDescent="0.25">
      <c r="A1821" t="str">
        <f>T("   ML")</f>
        <v xml:space="preserve">   ML</v>
      </c>
      <c r="B1821" t="str">
        <f>T("   Mali")</f>
        <v xml:space="preserve">   Mali</v>
      </c>
      <c r="C1821">
        <v>750000</v>
      </c>
      <c r="D1821">
        <v>15000</v>
      </c>
    </row>
    <row r="1822" spans="1:4" x14ac:dyDescent="0.25">
      <c r="A1822" t="str">
        <f>T("   SN")</f>
        <v xml:space="preserve">   SN</v>
      </c>
      <c r="B1822" t="str">
        <f>T("   Sénégal")</f>
        <v xml:space="preserve">   Sénégal</v>
      </c>
      <c r="C1822">
        <v>39286800</v>
      </c>
      <c r="D1822">
        <v>29320</v>
      </c>
    </row>
    <row r="1823" spans="1:4" x14ac:dyDescent="0.25">
      <c r="A1823" t="str">
        <f>T("   ZW")</f>
        <v xml:space="preserve">   ZW</v>
      </c>
      <c r="B1823" t="str">
        <f>T("   Zimbabwe")</f>
        <v xml:space="preserve">   Zimbabwe</v>
      </c>
      <c r="C1823">
        <v>500000</v>
      </c>
      <c r="D1823">
        <v>10000</v>
      </c>
    </row>
    <row r="1824" spans="1:4" x14ac:dyDescent="0.25">
      <c r="A1824" t="str">
        <f>T("940390")</f>
        <v>940390</v>
      </c>
      <c r="B1824" t="str">
        <f>T("PARTIES DE MEUBLES, N.D.A. (AUTRES QUE DE SIÈGES ET MOBILIER POUR LA MÉDECINE, L'ART DENTAIRE ET VÉTÉRINAIRE OU LA CHIRURGIE)")</f>
        <v>PARTIES DE MEUBLES, N.D.A. (AUTRES QUE DE SIÈGES ET MOBILIER POUR LA MÉDECINE, L'ART DENTAIRE ET VÉTÉRINAIRE OU LA CHIRURGIE)</v>
      </c>
    </row>
    <row r="1825" spans="1:4" x14ac:dyDescent="0.25">
      <c r="A1825" t="str">
        <f>T("   ZZZ_Monde")</f>
        <v xml:space="preserve">   ZZZ_Monde</v>
      </c>
      <c r="B1825" t="str">
        <f>T("   ZZZ_Monde")</f>
        <v xml:space="preserve">   ZZZ_Monde</v>
      </c>
      <c r="C1825">
        <v>22191932</v>
      </c>
      <c r="D1825">
        <v>11210</v>
      </c>
    </row>
    <row r="1826" spans="1:4" x14ac:dyDescent="0.25">
      <c r="A1826" t="str">
        <f>T("   BI")</f>
        <v xml:space="preserve">   BI</v>
      </c>
      <c r="B1826" t="str">
        <f>T("   Burundi")</f>
        <v xml:space="preserve">   Burundi</v>
      </c>
      <c r="C1826">
        <v>9126932</v>
      </c>
      <c r="D1826">
        <v>4110</v>
      </c>
    </row>
    <row r="1827" spans="1:4" x14ac:dyDescent="0.25">
      <c r="A1827" t="str">
        <f>T("   CG")</f>
        <v xml:space="preserve">   CG</v>
      </c>
      <c r="B1827" t="str">
        <f>T("   Congo (Brazzaville)")</f>
        <v xml:space="preserve">   Congo (Brazzaville)</v>
      </c>
      <c r="C1827">
        <v>4065000</v>
      </c>
      <c r="D1827">
        <v>3000</v>
      </c>
    </row>
    <row r="1828" spans="1:4" x14ac:dyDescent="0.25">
      <c r="A1828" t="str">
        <f>T("   GH")</f>
        <v xml:space="preserve">   GH</v>
      </c>
      <c r="B1828" t="str">
        <f>T("   Ghana")</f>
        <v xml:space="preserve">   Ghana</v>
      </c>
      <c r="C1828">
        <v>1500000</v>
      </c>
      <c r="D1828">
        <v>2000</v>
      </c>
    </row>
    <row r="1829" spans="1:4" x14ac:dyDescent="0.25">
      <c r="A1829" t="str">
        <f>T("   US")</f>
        <v xml:space="preserve">   US</v>
      </c>
      <c r="B1829" t="str">
        <f>T("   Etats-Unis")</f>
        <v xml:space="preserve">   Etats-Unis</v>
      </c>
      <c r="C1829">
        <v>7500000</v>
      </c>
      <c r="D1829">
        <v>2100</v>
      </c>
    </row>
    <row r="1830" spans="1:4" x14ac:dyDescent="0.25">
      <c r="A1830" t="str">
        <f>T("940429")</f>
        <v>940429</v>
      </c>
      <c r="B1830" t="str">
        <f>T("Matelas à ressorts ou rembourrés, ou garnis intérieurement de matières autres que le caoutchouc alvéolaire ou les matières plastiques alvéolaires (sauf matelas à eau, matelas pneumatiques et oreillers)")</f>
        <v>Matelas à ressorts ou rembourrés, ou garnis intérieurement de matières autres que le caoutchouc alvéolaire ou les matières plastiques alvéolaires (sauf matelas à eau, matelas pneumatiques et oreillers)</v>
      </c>
    </row>
    <row r="1831" spans="1:4" x14ac:dyDescent="0.25">
      <c r="A1831" t="str">
        <f>T("   ZZZ_Monde")</f>
        <v xml:space="preserve">   ZZZ_Monde</v>
      </c>
      <c r="B1831" t="str">
        <f>T("   ZZZ_Monde")</f>
        <v xml:space="preserve">   ZZZ_Monde</v>
      </c>
      <c r="C1831">
        <v>150000</v>
      </c>
      <c r="D1831">
        <v>100</v>
      </c>
    </row>
    <row r="1832" spans="1:4" x14ac:dyDescent="0.25">
      <c r="A1832" t="str">
        <f>T("   GN")</f>
        <v xml:space="preserve">   GN</v>
      </c>
      <c r="B1832" t="str">
        <f>T("   Guinée")</f>
        <v xml:space="preserve">   Guinée</v>
      </c>
      <c r="C1832">
        <v>150000</v>
      </c>
      <c r="D1832">
        <v>100</v>
      </c>
    </row>
    <row r="1833" spans="1:4" x14ac:dyDescent="0.25">
      <c r="A1833" t="str">
        <f>T("940490")</f>
        <v>940490</v>
      </c>
      <c r="B1833" t="str">
        <f>T("Articles de literie et simil., garnis de plumes, rembourrés, garnis de matières de toutes sortes, y.c. caoutchouc alvéolaire ou matières plastiques alvéolaires (sauf sommiers, matelas, sacs de couchage, matelas à eau, matelas pneumatiques et oreillers, ai")</f>
        <v>Articles de literie et simil., garnis de plumes, rembourrés, garnis de matières de toutes sortes, y.c. caoutchouc alvéolaire ou matières plastiques alvéolaires (sauf sommiers, matelas, sacs de couchage, matelas à eau, matelas pneumatiques et oreillers, ai</v>
      </c>
    </row>
    <row r="1834" spans="1:4" x14ac:dyDescent="0.25">
      <c r="A1834" t="str">
        <f>T("   ZZZ_Monde")</f>
        <v xml:space="preserve">   ZZZ_Monde</v>
      </c>
      <c r="B1834" t="str">
        <f>T("   ZZZ_Monde")</f>
        <v xml:space="preserve">   ZZZ_Monde</v>
      </c>
      <c r="C1834">
        <v>8311889</v>
      </c>
      <c r="D1834">
        <v>2916.8</v>
      </c>
    </row>
    <row r="1835" spans="1:4" x14ac:dyDescent="0.25">
      <c r="A1835" t="str">
        <f>T("   BF")</f>
        <v xml:space="preserve">   BF</v>
      </c>
      <c r="B1835" t="str">
        <f>T("   Burkina Faso")</f>
        <v xml:space="preserve">   Burkina Faso</v>
      </c>
      <c r="C1835">
        <v>8311889</v>
      </c>
      <c r="D1835">
        <v>2916.8</v>
      </c>
    </row>
    <row r="1836" spans="1:4" x14ac:dyDescent="0.25">
      <c r="A1836" t="str">
        <f>T("940540")</f>
        <v>940540</v>
      </c>
      <c r="B1836" t="str">
        <f>T("Appareils d'éclairage électrique, n.d.a.")</f>
        <v>Appareils d'éclairage électrique, n.d.a.</v>
      </c>
    </row>
    <row r="1837" spans="1:4" x14ac:dyDescent="0.25">
      <c r="A1837" t="str">
        <f>T("   ZZZ_Monde")</f>
        <v xml:space="preserve">   ZZZ_Monde</v>
      </c>
      <c r="B1837" t="str">
        <f>T("   ZZZ_Monde")</f>
        <v xml:space="preserve">   ZZZ_Monde</v>
      </c>
      <c r="C1837">
        <v>8615376</v>
      </c>
      <c r="D1837">
        <v>6172</v>
      </c>
    </row>
    <row r="1838" spans="1:4" x14ac:dyDescent="0.25">
      <c r="A1838" t="str">
        <f>T("   BE")</f>
        <v xml:space="preserve">   BE</v>
      </c>
      <c r="B1838" t="str">
        <f>T("   Belgique")</f>
        <v xml:space="preserve">   Belgique</v>
      </c>
      <c r="C1838">
        <v>1866800</v>
      </c>
      <c r="D1838">
        <v>2100</v>
      </c>
    </row>
    <row r="1839" spans="1:4" x14ac:dyDescent="0.25">
      <c r="A1839" t="str">
        <f>T("   BR")</f>
        <v xml:space="preserve">   BR</v>
      </c>
      <c r="B1839" t="str">
        <f>T("   Brésil")</f>
        <v xml:space="preserve">   Brésil</v>
      </c>
      <c r="C1839">
        <v>4146008</v>
      </c>
      <c r="D1839">
        <v>1251</v>
      </c>
    </row>
    <row r="1840" spans="1:4" x14ac:dyDescent="0.25">
      <c r="A1840" t="str">
        <f>T("   US")</f>
        <v xml:space="preserve">   US</v>
      </c>
      <c r="B1840" t="str">
        <f>T("   Etats-Unis")</f>
        <v xml:space="preserve">   Etats-Unis</v>
      </c>
      <c r="C1840">
        <v>2602568</v>
      </c>
      <c r="D1840">
        <v>2821</v>
      </c>
    </row>
    <row r="1841" spans="1:4" x14ac:dyDescent="0.25">
      <c r="A1841" t="str">
        <f>T("950300")</f>
        <v>950300</v>
      </c>
      <c r="B1841" t="str">
        <f>T("TRICYCLES, TROTTINETTES, AUTOS À PÉDALES ET JOUETS À ROUES SIMILAIRES; LANDAUS ET POUSSETTES POUR POUPÉES; POUPÉES; AUTRES JOUETS; MODÈLES RÉDUITS POUR LE DIVERTISSEMENT, ANIMÉS OU NON; PUZZLES DE TOUT GENRE")</f>
        <v>TRICYCLES, TROTTINETTES, AUTOS À PÉDALES ET JOUETS À ROUES SIMILAIRES; LANDAUS ET POUSSETTES POUR POUPÉES; POUPÉES; AUTRES JOUETS; MODÈLES RÉDUITS POUR LE DIVERTISSEMENT, ANIMÉS OU NON; PUZZLES DE TOUT GENRE</v>
      </c>
    </row>
    <row r="1842" spans="1:4" x14ac:dyDescent="0.25">
      <c r="A1842" t="str">
        <f>T("   ZZZ_Monde")</f>
        <v xml:space="preserve">   ZZZ_Monde</v>
      </c>
      <c r="B1842" t="str">
        <f>T("   ZZZ_Monde")</f>
        <v xml:space="preserve">   ZZZ_Monde</v>
      </c>
      <c r="C1842">
        <v>200000</v>
      </c>
      <c r="D1842">
        <v>50</v>
      </c>
    </row>
    <row r="1843" spans="1:4" x14ac:dyDescent="0.25">
      <c r="A1843" t="str">
        <f>T("   ZA")</f>
        <v xml:space="preserve">   ZA</v>
      </c>
      <c r="B1843" t="str">
        <f>T("   Afrique du Sud")</f>
        <v xml:space="preserve">   Afrique du Sud</v>
      </c>
      <c r="C1843">
        <v>200000</v>
      </c>
      <c r="D1843">
        <v>50</v>
      </c>
    </row>
    <row r="1844" spans="1:4" x14ac:dyDescent="0.25">
      <c r="A1844" t="str">
        <f>T("950430")</f>
        <v>950430</v>
      </c>
      <c r="B1844" t="str">
        <f>T("JEUX AVEC ÉCRAN, FLIPPERS ET AUTRES AUTRES JEUX FONCTIONNANT PAR L'INTRODUCTION D'UNE PIÈCE DE MONNAIE, D'UN BILLET DE BANQUE, D'UNE CARTE BANCAIRE, D'UN JETON OU PAR D'AUTRES MOYENS DE PAIEMENT (À L'EXCL. DES JEUX DE QUILLES AUTOMATIQUES [P.EX. BOWLINGS]")</f>
        <v>JEUX AVEC ÉCRAN, FLIPPERS ET AUTRES AUTRES JEUX FONCTIONNANT PAR L'INTRODUCTION D'UNE PIÈCE DE MONNAIE, D'UN BILLET DE BANQUE, D'UNE CARTE BANCAIRE, D'UN JETON OU PAR D'AUTRES MOYENS DE PAIEMENT (À L'EXCL. DES JEUX DE QUILLES AUTOMATIQUES [P.EX. BOWLINGS]</v>
      </c>
    </row>
    <row r="1845" spans="1:4" x14ac:dyDescent="0.25">
      <c r="A1845" t="str">
        <f>T("   ZZZ_Monde")</f>
        <v xml:space="preserve">   ZZZ_Monde</v>
      </c>
      <c r="B1845" t="str">
        <f>T("   ZZZ_Monde")</f>
        <v xml:space="preserve">   ZZZ_Monde</v>
      </c>
      <c r="C1845">
        <v>1250000</v>
      </c>
      <c r="D1845">
        <v>4500</v>
      </c>
    </row>
    <row r="1846" spans="1:4" x14ac:dyDescent="0.25">
      <c r="A1846" t="str">
        <f>T("   TG")</f>
        <v xml:space="preserve">   TG</v>
      </c>
      <c r="B1846" t="str">
        <f>T("   Togo")</f>
        <v xml:space="preserve">   Togo</v>
      </c>
      <c r="C1846">
        <v>1250000</v>
      </c>
      <c r="D1846">
        <v>4500</v>
      </c>
    </row>
    <row r="1847" spans="1:4" x14ac:dyDescent="0.25">
      <c r="A1847" t="str">
        <f>T("950590")</f>
        <v>950590</v>
      </c>
      <c r="B1847" t="str">
        <f>T("Articles pour fêtes, carnaval ou autres divertissements, y.c. les articles de magie et articles-surprises, n.d.a.")</f>
        <v>Articles pour fêtes, carnaval ou autres divertissements, y.c. les articles de magie et articles-surprises, n.d.a.</v>
      </c>
    </row>
    <row r="1848" spans="1:4" x14ac:dyDescent="0.25">
      <c r="A1848" t="str">
        <f>T("   ZZZ_Monde")</f>
        <v xml:space="preserve">   ZZZ_Monde</v>
      </c>
      <c r="B1848" t="str">
        <f>T("   ZZZ_Monde")</f>
        <v xml:space="preserve">   ZZZ_Monde</v>
      </c>
      <c r="C1848">
        <v>10000</v>
      </c>
      <c r="D1848">
        <v>2590</v>
      </c>
    </row>
    <row r="1849" spans="1:4" x14ac:dyDescent="0.25">
      <c r="A1849" t="str">
        <f>T("   HR")</f>
        <v xml:space="preserve">   HR</v>
      </c>
      <c r="B1849" t="str">
        <f>T("   Croatie")</f>
        <v xml:space="preserve">   Croatie</v>
      </c>
      <c r="C1849">
        <v>10000</v>
      </c>
      <c r="D1849">
        <v>2590</v>
      </c>
    </row>
    <row r="1850" spans="1:4" x14ac:dyDescent="0.25">
      <c r="A1850" t="str">
        <f>T("960310")</f>
        <v>960310</v>
      </c>
      <c r="B1850" t="str">
        <f>T("Balais et balayettes consistant en matières végétales en bottes liées")</f>
        <v>Balais et balayettes consistant en matières végétales en bottes liées</v>
      </c>
    </row>
    <row r="1851" spans="1:4" x14ac:dyDescent="0.25">
      <c r="A1851" t="str">
        <f>T("   ZZZ_Monde")</f>
        <v xml:space="preserve">   ZZZ_Monde</v>
      </c>
      <c r="B1851" t="str">
        <f>T("   ZZZ_Monde")</f>
        <v xml:space="preserve">   ZZZ_Monde</v>
      </c>
      <c r="C1851">
        <v>330000</v>
      </c>
      <c r="D1851">
        <v>1000</v>
      </c>
    </row>
    <row r="1852" spans="1:4" x14ac:dyDescent="0.25">
      <c r="A1852" t="str">
        <f>T("   GA")</f>
        <v xml:space="preserve">   GA</v>
      </c>
      <c r="B1852" t="str">
        <f>T("   Gabon")</f>
        <v xml:space="preserve">   Gabon</v>
      </c>
      <c r="C1852">
        <v>330000</v>
      </c>
      <c r="D1852">
        <v>1000</v>
      </c>
    </row>
    <row r="1853" spans="1:4" x14ac:dyDescent="0.25">
      <c r="A1853" t="str">
        <f>T("961700")</f>
        <v>961700</v>
      </c>
      <c r="B1853" t="str">
        <f>T("Bouteilles isolantes et autres récipients isothermiques montés, dont l'isolation est assurée par le vide, ainsi que leurs parties (à l'excl. des ampoules en verre)")</f>
        <v>Bouteilles isolantes et autres récipients isothermiques montés, dont l'isolation est assurée par le vide, ainsi que leurs parties (à l'excl. des ampoules en verre)</v>
      </c>
    </row>
    <row r="1854" spans="1:4" x14ac:dyDescent="0.25">
      <c r="A1854" t="str">
        <f>T("   ZZZ_Monde")</f>
        <v xml:space="preserve">   ZZZ_Monde</v>
      </c>
      <c r="B1854" t="str">
        <f>T("   ZZZ_Monde")</f>
        <v xml:space="preserve">   ZZZ_Monde</v>
      </c>
      <c r="C1854">
        <v>500000</v>
      </c>
      <c r="D1854">
        <v>10000</v>
      </c>
    </row>
    <row r="1855" spans="1:4" x14ac:dyDescent="0.25">
      <c r="A1855" t="str">
        <f>T("   BE")</f>
        <v xml:space="preserve">   BE</v>
      </c>
      <c r="B1855" t="str">
        <f>T("   Belgique")</f>
        <v xml:space="preserve">   Belgique</v>
      </c>
      <c r="C1855">
        <v>500000</v>
      </c>
      <c r="D1855">
        <v>10000</v>
      </c>
    </row>
    <row r="1856" spans="1:4" x14ac:dyDescent="0.25">
      <c r="A1856" t="str">
        <f>T("970300")</f>
        <v>970300</v>
      </c>
      <c r="B1856" t="str">
        <f>T("Productions originales de l'art statuaire ou de la sculpture, en toutes matières")</f>
        <v>Productions originales de l'art statuaire ou de la sculpture, en toutes matières</v>
      </c>
    </row>
    <row r="1857" spans="1:4" x14ac:dyDescent="0.25">
      <c r="A1857" t="str">
        <f>T("   ZZZ_Monde")</f>
        <v xml:space="preserve">   ZZZ_Monde</v>
      </c>
      <c r="B1857" t="str">
        <f>T("   ZZZ_Monde")</f>
        <v xml:space="preserve">   ZZZ_Monde</v>
      </c>
      <c r="C1857">
        <v>2357620</v>
      </c>
      <c r="D1857">
        <v>851</v>
      </c>
    </row>
    <row r="1858" spans="1:4" x14ac:dyDescent="0.25">
      <c r="A1858" t="str">
        <f>T("   CH")</f>
        <v xml:space="preserve">   CH</v>
      </c>
      <c r="B1858" t="str">
        <f>T("   Suisse")</f>
        <v xml:space="preserve">   Suisse</v>
      </c>
      <c r="C1858">
        <v>1631320</v>
      </c>
      <c r="D1858">
        <v>190</v>
      </c>
    </row>
    <row r="1859" spans="1:4" x14ac:dyDescent="0.25">
      <c r="A1859" t="str">
        <f>T("   FR")</f>
        <v xml:space="preserve">   FR</v>
      </c>
      <c r="B1859" t="str">
        <f>T("   France")</f>
        <v xml:space="preserve">   France</v>
      </c>
      <c r="C1859">
        <v>204300</v>
      </c>
      <c r="D1859">
        <v>521</v>
      </c>
    </row>
    <row r="1860" spans="1:4" x14ac:dyDescent="0.25">
      <c r="A1860" t="str">
        <f>T("   IT")</f>
        <v xml:space="preserve">   IT</v>
      </c>
      <c r="B1860" t="str">
        <f>T("   Italie")</f>
        <v xml:space="preserve">   Italie</v>
      </c>
      <c r="C1860">
        <v>522000</v>
      </c>
      <c r="D1860">
        <v>140</v>
      </c>
    </row>
    <row r="1861" spans="1:4" x14ac:dyDescent="0.25">
      <c r="A1861" t="str">
        <f>T("970500")</f>
        <v>970500</v>
      </c>
      <c r="B1861" t="str">
        <f>T("Collections et spécimens pour collections de zoologie, de botanique, de minéralogie, d'anatomie, ou présentant un intérêt historique, archéologique, paléontologique, ethnographique ou numismatique")</f>
        <v>Collections et spécimens pour collections de zoologie, de botanique, de minéralogie, d'anatomie, ou présentant un intérêt historique, archéologique, paléontologique, ethnographique ou numismatique</v>
      </c>
    </row>
    <row r="1862" spans="1:4" x14ac:dyDescent="0.25">
      <c r="A1862" t="str">
        <f>T("   ZZZ_Monde")</f>
        <v xml:space="preserve">   ZZZ_Monde</v>
      </c>
      <c r="B1862" t="str">
        <f>T("   ZZZ_Monde")</f>
        <v xml:space="preserve">   ZZZ_Monde</v>
      </c>
      <c r="C1862">
        <v>60000</v>
      </c>
      <c r="D1862">
        <v>50</v>
      </c>
    </row>
    <row r="1863" spans="1:4" x14ac:dyDescent="0.25">
      <c r="A1863" t="str">
        <f>T("   DE")</f>
        <v xml:space="preserve">   DE</v>
      </c>
      <c r="B1863" t="str">
        <f>T("   Allemagne")</f>
        <v xml:space="preserve">   Allemagne</v>
      </c>
      <c r="C1863">
        <v>60000</v>
      </c>
      <c r="D1863">
        <v>50</v>
      </c>
    </row>
    <row r="1864" spans="1:4" s="1" customFormat="1" x14ac:dyDescent="0.25">
      <c r="A1864" s="1" t="str">
        <f>T("   ZZZ_Monde")</f>
        <v xml:space="preserve">   ZZZ_Monde</v>
      </c>
      <c r="B1864" s="1" t="str">
        <f>T("   ZZZ_Monde")</f>
        <v xml:space="preserve">   ZZZ_Monde</v>
      </c>
      <c r="C1864" s="1">
        <v>244786343882</v>
      </c>
      <c r="D1864" s="1">
        <v>849487673.23000002</v>
      </c>
    </row>
    <row r="1866" spans="1:4" x14ac:dyDescent="0.25">
      <c r="A1866" t="s">
        <v>30</v>
      </c>
    </row>
  </sheetData>
  <pageMargins left="0.7" right="0.7" top="0.75" bottom="0.75" header="0.3" footer="0.3"/>
  <pageSetup paperSize="9" orientation="portrait" r:id="rId1"/>
</worksheet>
</file>